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QksSB8vNnHfRG09p8eXNxU3iaTvCMTp5GcbFhvFJHFyHsyKC1D8we1eHfjpjg/s1xALtp/GFU3y64d9pb0/uLg==" workbookSaltValue="v0USXAtgLof86Z9VolBV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BF17" i="8" l="1"/>
  <c r="BG17" i="13"/>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S23" i="16"/>
  <c r="S31" i="16" s="1"/>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<sst xmlns="http://schemas.openxmlformats.org/spreadsheetml/2006/main" count="2682" uniqueCount="1193">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</sst>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km6utZ0gfIh5asttz9RGTINLcUYU2LAZYdQGH/YtGk+ioXnckS3hL3SIAEAMLTh1gLIA8d54ICGPNJx3ZRhMQ==" saltValue="ioqcye32Zs/QUtRSsH/U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45.60818713450292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219</v>
      </c>
      <c r="D17" s="239">
        <f>IF(ISNUMBER(IF(D_I="SI",Datos!I17,Datos!I17+Datos!AC17)),IF(D_I="SI",Datos!I17,Datos!I17+Datos!AC17)," - ")</f>
        <v>162</v>
      </c>
      <c r="E17" s="240">
        <f>IF(ISNUMBER(IF(D_I="SI",Datos!J17,Datos!J17+Datos!AD17)),IF(D_I="SI",Datos!J17,Datos!J17+Datos!AD17)," - ")</f>
        <v>194</v>
      </c>
      <c r="F17" s="240">
        <f>IF(ISNUMBER(IF(D_I="SI",Datos!K17,Datos!K17+Datos!AE17)),IF(D_I="SI",Datos!K17,Datos!K17+Datos!AE17)," - ")</f>
        <v>108</v>
      </c>
      <c r="G17" s="1390" t="str">
        <f>IF(Datos!E17&lt;&gt;"",Datos!E17,Datos!D17)</f>
        <v>04</v>
      </c>
      <c r="H17" s="241">
        <f>IF(ISNUMBER(IF(D_I="SI",Datos!L17,Datos!L17+Datos!AF17)),IF(D_I="SI",Datos!L17,Datos!L17+Datos!AF17)," - ")</f>
        <v>305</v>
      </c>
      <c r="I17" s="1400" t="str">
        <f>IF(ISNUMBER(Datos!AS17/Datos!BM17),Datos!AS17/Datos!BM17," - ")</f>
        <v xml:space="preserve"> - </v>
      </c>
      <c r="J17" s="1401">
        <f>IF(ISNUMBER(Datos!BY17/Datos!CN17),Datos!BY17/Datos!CN17," - ")</f>
        <v>0</v>
      </c>
      <c r="K17" s="244">
        <f t="shared" si="3"/>
        <v>0.39269406392694062</v>
      </c>
      <c r="L17" s="1402">
        <f>IF(ISNUMBER(NºAsuntos!I17/NºAsuntos!G17),(NºAsuntos!I17/NºAsuntos!G17)*11," - ")</f>
        <v>31.064814814814813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v>
      </c>
      <c r="D18" s="239">
        <f>IF(ISNUMBER(IF(D_I="SI",Datos!I18,Datos!I18+Datos!AC18)),IF(D_I="SI",Datos!I18,Datos!I18+Datos!AC18)," - ")</f>
        <v>1</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220</v>
      </c>
      <c r="D23" s="1407">
        <f>SUBTOTAL(9,D16:D22)</f>
        <v>163</v>
      </c>
      <c r="E23" s="1408">
        <f>SUBTOTAL(9,E16:E22)</f>
        <v>194</v>
      </c>
      <c r="F23" s="1408">
        <f>SUBTOTAL(9,F16:F22)</f>
        <v>108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220</v>
      </c>
      <c r="D31" s="1435">
        <f>SUBTOTAL(9,D9:D30)</f>
        <v>163</v>
      </c>
      <c r="E31" s="1436">
        <f>SUBTOTAL(9,E9:E30)</f>
        <v>194</v>
      </c>
      <c r="F31" s="1436">
        <f>SUBTOTAL(9,F9:F30)</f>
        <v>108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1qlyb/c9BFdmDOEHhipPRhPJ92HOn3ikIKrYtNdGPv7svAJpD1fM8/fujAWl5XPNKhbmPZPbE1vchnryzybSg==" saltValue="HwJKZn1M9Tj3ZYyFTl6S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E+B/3ImHIxvOnjqNZ8hmhiV5jSVsRSkuENXa3EI1L1CYuAxyiiYjQMMKJdacEcxpjrY+WcW4ZXVN6X3dHr8Jg==" saltValue="0fSnPeXgquDQrpKkXD2x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616</v>
      </c>
      <c r="J12" s="196">
        <v>230</v>
      </c>
      <c r="K12" s="196">
        <v>154</v>
      </c>
      <c r="L12" s="196">
        <v>692</v>
      </c>
      <c r="M12" s="196">
        <v>19</v>
      </c>
      <c r="N12" s="196">
        <v>119</v>
      </c>
      <c r="O12" s="194">
        <v>25</v>
      </c>
      <c r="P12" s="196">
        <v>49</v>
      </c>
      <c r="Q12" s="196">
        <v>19</v>
      </c>
      <c r="R12" s="196">
        <v>891</v>
      </c>
      <c r="S12" s="196">
        <v>400</v>
      </c>
      <c r="T12" s="196">
        <v>222</v>
      </c>
      <c r="U12" s="196">
        <v>157</v>
      </c>
      <c r="V12" s="196">
        <v>465</v>
      </c>
      <c r="W12" s="196">
        <v>27</v>
      </c>
      <c r="X12" s="202">
        <v>57</v>
      </c>
      <c r="Y12" s="204">
        <v>8</v>
      </c>
      <c r="Z12" s="194">
        <v>26</v>
      </c>
      <c r="AA12" s="194">
        <v>17</v>
      </c>
      <c r="AB12" s="194">
        <v>17</v>
      </c>
      <c r="AC12" s="196">
        <v>0</v>
      </c>
      <c r="AD12" s="196">
        <v>0</v>
      </c>
      <c r="AE12" s="196">
        <v>0</v>
      </c>
      <c r="AF12" s="202">
        <v>0</v>
      </c>
      <c r="AG12" s="215">
        <v>29</v>
      </c>
      <c r="AH12" s="196">
        <v>30</v>
      </c>
      <c r="AI12" s="196">
        <v>21</v>
      </c>
      <c r="AJ12" s="216">
        <v>38</v>
      </c>
      <c r="AK12" s="195">
        <v>0</v>
      </c>
      <c r="AL12" s="196">
        <v>0</v>
      </c>
      <c r="AM12" s="196">
        <v>0</v>
      </c>
      <c r="AN12" s="202">
        <v>0</v>
      </c>
      <c r="AO12" s="283">
        <v>1</v>
      </c>
      <c r="AP12" s="168">
        <v>1</v>
      </c>
      <c r="AQ12" s="168">
        <v>1</v>
      </c>
      <c r="AR12" s="167">
        <v>1</v>
      </c>
      <c r="AS12" s="381" t="s">
        <v>1075</v>
      </c>
      <c r="AT12" s="216"/>
      <c r="AU12" s="215"/>
      <c r="AV12" s="216"/>
      <c r="AW12" s="215"/>
      <c r="AX12" s="216"/>
      <c r="AY12" s="136">
        <f t="shared" si="1"/>
        <v>429</v>
      </c>
      <c r="AZ12" s="137">
        <f t="shared" si="1"/>
        <v>252</v>
      </c>
      <c r="BA12" s="137">
        <f t="shared" si="1"/>
        <v>178</v>
      </c>
      <c r="BB12" s="137">
        <f t="shared" si="1"/>
        <v>503</v>
      </c>
      <c r="BC12" s="135">
        <f>IF(ISNUMBER(X12),X12," - ")</f>
        <v>57</v>
      </c>
      <c r="BD12" s="136">
        <f t="shared" si="2"/>
        <v>0.70634920634920639</v>
      </c>
      <c r="BE12" s="137">
        <f t="shared" si="3"/>
        <v>2.8258426966292136</v>
      </c>
      <c r="BF12" s="137">
        <f t="shared" si="4"/>
        <v>0.3202247191011236</v>
      </c>
      <c r="BG12" s="209">
        <f t="shared" si="5"/>
        <v>3.8258426966292136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616</v>
      </c>
      <c r="J14" s="197">
        <f t="shared" si="7"/>
        <v>230</v>
      </c>
      <c r="K14" s="197">
        <f t="shared" si="7"/>
        <v>154</v>
      </c>
      <c r="L14" s="197">
        <f t="shared" si="7"/>
        <v>692</v>
      </c>
      <c r="M14" s="197">
        <f t="shared" si="7"/>
        <v>19</v>
      </c>
      <c r="N14" s="197">
        <f t="shared" si="7"/>
        <v>119</v>
      </c>
      <c r="O14" s="197">
        <f t="shared" si="7"/>
        <v>25</v>
      </c>
      <c r="P14" s="197">
        <f t="shared" si="7"/>
        <v>49</v>
      </c>
      <c r="Q14" s="197">
        <f t="shared" si="7"/>
        <v>19</v>
      </c>
      <c r="R14" s="197">
        <f t="shared" si="7"/>
        <v>891</v>
      </c>
      <c r="S14" s="197">
        <f t="shared" si="7"/>
        <v>400</v>
      </c>
      <c r="T14" s="197">
        <f t="shared" si="7"/>
        <v>222</v>
      </c>
      <c r="U14" s="197">
        <f t="shared" si="7"/>
        <v>157</v>
      </c>
      <c r="V14" s="197">
        <f t="shared" si="7"/>
        <v>465</v>
      </c>
      <c r="W14" s="197">
        <f t="shared" si="7"/>
        <v>27</v>
      </c>
      <c r="X14" s="197">
        <f t="shared" si="7"/>
        <v>57</v>
      </c>
      <c r="Y14" s="197">
        <f t="shared" si="7"/>
        <v>8</v>
      </c>
      <c r="Z14" s="197">
        <f t="shared" si="7"/>
        <v>26</v>
      </c>
      <c r="AA14" s="197">
        <f t="shared" si="7"/>
        <v>17</v>
      </c>
      <c r="AB14" s="197">
        <f t="shared" si="7"/>
        <v>17</v>
      </c>
      <c r="AC14" s="197">
        <f t="shared" si="7"/>
        <v>0</v>
      </c>
      <c r="AD14" s="197">
        <f t="shared" si="7"/>
        <v>0</v>
      </c>
      <c r="AE14" s="197">
        <f t="shared" si="7"/>
        <v>0</v>
      </c>
      <c r="AF14" s="197">
        <f>SUBTOTAL(9,AF9:AF13)</f>
        <v>0</v>
      </c>
      <c r="AG14" s="197">
        <f t="shared" ref="AG14:AT14" si="8">SUBTOTAL(9,AG8:AG13)</f>
        <v>29</v>
      </c>
      <c r="AH14" s="197">
        <f t="shared" si="8"/>
        <v>30</v>
      </c>
      <c r="AI14" s="197">
        <f t="shared" si="8"/>
        <v>21</v>
      </c>
      <c r="AJ14" s="197">
        <f t="shared" si="8"/>
        <v>38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429</v>
      </c>
      <c r="AZ14" s="197">
        <f>SUBTOTAL(9,AZ8:AZ13)</f>
        <v>252</v>
      </c>
      <c r="BA14" s="197">
        <f>SUBTOTAL(9,BA8:BA13)</f>
        <v>178</v>
      </c>
      <c r="BB14" s="197">
        <f>SUBTOTAL(9,BB8:BB13)</f>
        <v>503</v>
      </c>
      <c r="BC14" s="197">
        <f>SUBTOTAL(9,BC8:BC13)</f>
        <v>57</v>
      </c>
      <c r="BD14" s="219">
        <f>IF(ISNUMBER(BA14/AZ14),BA14/AZ14," - ")</f>
        <v>0.70634920634920639</v>
      </c>
      <c r="BE14" s="220">
        <f>IF(ISNUMBER(BB14/BA14),BB14/BA14, " - ")</f>
        <v>2.8258426966292136</v>
      </c>
      <c r="BF14" s="220">
        <f>IF(ISNUMBER(BC14/BA14),BC14/BA14, " - ")</f>
        <v>0.3202247191011236</v>
      </c>
      <c r="BG14" s="221">
        <f>IF(ISNUMBER((AY14+AZ14)/BA14),(AY14+AZ14)/BA14," - ")</f>
        <v>3.8258426966292136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v>
      </c>
      <c r="J17" s="196">
        <v>194</v>
      </c>
      <c r="K17" s="196">
        <v>108</v>
      </c>
      <c r="L17" s="196">
        <v>305</v>
      </c>
      <c r="M17" s="196">
        <v>25</v>
      </c>
      <c r="N17" s="196">
        <v>72</v>
      </c>
      <c r="O17" s="194">
        <v>0</v>
      </c>
      <c r="P17" s="196">
        <v>0</v>
      </c>
      <c r="Q17" s="196">
        <v>0</v>
      </c>
      <c r="R17" s="196">
        <v>35</v>
      </c>
      <c r="S17" s="196">
        <v>311</v>
      </c>
      <c r="T17" s="196">
        <v>184</v>
      </c>
      <c r="U17" s="196">
        <v>163</v>
      </c>
      <c r="V17" s="196">
        <v>332</v>
      </c>
      <c r="W17" s="196">
        <v>19</v>
      </c>
      <c r="X17" s="202">
        <v>106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311</v>
      </c>
      <c r="AZ17" s="137">
        <f t="shared" si="10"/>
        <v>184</v>
      </c>
      <c r="BA17" s="137">
        <f t="shared" si="10"/>
        <v>163</v>
      </c>
      <c r="BB17" s="137">
        <f t="shared" si="10"/>
        <v>332</v>
      </c>
      <c r="BC17" s="135">
        <f>IF(ISNUMBER(W17),W17," - ")</f>
        <v>19</v>
      </c>
      <c r="BD17" s="136">
        <f t="shared" ref="BD17:BD22" si="12">IF(ISNUMBER(BA17/AZ17),BA17/AZ17," - ")</f>
        <v>0.88586956521739135</v>
      </c>
      <c r="BE17" s="137">
        <f t="shared" ref="BE17:BE22" si="13">IF(ISNUMBER(BB17/BA17),BB17/BA17, " - ")</f>
        <v>2.03680981595092</v>
      </c>
      <c r="BF17" s="137">
        <f t="shared" ref="BF17:BF22" si="14">IF(ISNUMBER(BC17/BA17),BC17/BA17, " - ")</f>
        <v>0.1165644171779141</v>
      </c>
      <c r="BG17" s="209">
        <f t="shared" si="11"/>
        <v>3.03680981595092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v>
      </c>
      <c r="J18" s="196">
        <v>0</v>
      </c>
      <c r="K18" s="196">
        <v>0</v>
      </c>
      <c r="L18" s="196">
        <v>1</v>
      </c>
      <c r="M18" s="196">
        <v>0</v>
      </c>
      <c r="N18" s="196">
        <v>0</v>
      </c>
      <c r="O18" s="196">
        <v>0</v>
      </c>
      <c r="P18" s="196">
        <v>0</v>
      </c>
      <c r="Q18" s="196">
        <v>0</v>
      </c>
      <c r="R18" s="196">
        <v>0</v>
      </c>
      <c r="S18" s="196">
        <v>2</v>
      </c>
      <c r="T18" s="196">
        <v>0</v>
      </c>
      <c r="U18" s="196">
        <v>0</v>
      </c>
      <c r="V18" s="196">
        <v>2</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0</v>
      </c>
      <c r="BA18" s="139">
        <f t="shared" si="15"/>
        <v>0</v>
      </c>
      <c r="BB18" s="139">
        <f t="shared" si="15"/>
        <v>2</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v>
      </c>
      <c r="J23" s="197">
        <f t="shared" si="21"/>
        <v>194</v>
      </c>
      <c r="K23" s="197">
        <f t="shared" si="21"/>
        <v>108</v>
      </c>
      <c r="L23" s="197">
        <f t="shared" si="21"/>
        <v>306</v>
      </c>
      <c r="M23" s="197">
        <f t="shared" si="21"/>
        <v>25</v>
      </c>
      <c r="N23" s="197">
        <f t="shared" si="21"/>
        <v>72</v>
      </c>
      <c r="O23" s="197">
        <f t="shared" si="21"/>
        <v>0</v>
      </c>
      <c r="P23" s="197">
        <f t="shared" si="21"/>
        <v>0</v>
      </c>
      <c r="Q23" s="197">
        <f t="shared" si="21"/>
        <v>0</v>
      </c>
      <c r="R23" s="197">
        <f t="shared" si="21"/>
        <v>35</v>
      </c>
      <c r="S23" s="197">
        <f t="shared" si="21"/>
        <v>313</v>
      </c>
      <c r="T23" s="197">
        <f t="shared" si="21"/>
        <v>184</v>
      </c>
      <c r="U23" s="197">
        <f t="shared" si="21"/>
        <v>163</v>
      </c>
      <c r="V23" s="197">
        <f t="shared" si="21"/>
        <v>334</v>
      </c>
      <c r="W23" s="197">
        <f t="shared" si="21"/>
        <v>19</v>
      </c>
      <c r="X23" s="197">
        <f t="shared" si="21"/>
        <v>106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313</v>
      </c>
      <c r="AZ23" s="197">
        <f>SUBTOTAL(9,AZ15:AZ22)</f>
        <v>184</v>
      </c>
      <c r="BA23" s="197">
        <f>SUBTOTAL(9,BA15:BA22)</f>
        <v>163</v>
      </c>
      <c r="BB23" s="197">
        <f>SUBTOTAL(9,BB15:BB22)</f>
        <v>334</v>
      </c>
      <c r="BC23" s="197">
        <f>SUBTOTAL(9,BC15:BC22)</f>
        <v>19</v>
      </c>
      <c r="BD23" s="219">
        <f>IF(ISNUMBER(BA23/AZ23),BA23/AZ23," - ")</f>
        <v>0.88586956521739135</v>
      </c>
      <c r="BE23" s="220">
        <f>IF(ISNUMBER(BB23/BA23),BB23/BA23, " - ")</f>
        <v>2.0490797546012272</v>
      </c>
      <c r="BF23" s="220">
        <f>IF(ISNUMBER(BC23/BA23),BC23/BA23, " - ")</f>
        <v>0.1165644171779141</v>
      </c>
      <c r="BG23" s="221">
        <f>IF(ISNUMBER((AY23+AZ23)/BA23),(AY23+AZ23)/BA23," - ")</f>
        <v>3.0490797546012272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779</v>
      </c>
      <c r="J31" s="144">
        <f t="shared" si="36"/>
        <v>424</v>
      </c>
      <c r="K31" s="144">
        <f t="shared" si="36"/>
        <v>262</v>
      </c>
      <c r="L31" s="144">
        <f t="shared" si="36"/>
        <v>998</v>
      </c>
      <c r="M31" s="144">
        <f t="shared" si="36"/>
        <v>44</v>
      </c>
      <c r="N31" s="144">
        <f t="shared" si="36"/>
        <v>191</v>
      </c>
      <c r="O31" s="144">
        <f t="shared" si="36"/>
        <v>25</v>
      </c>
      <c r="P31" s="144">
        <f t="shared" si="36"/>
        <v>49</v>
      </c>
      <c r="Q31" s="144">
        <f t="shared" si="36"/>
        <v>19</v>
      </c>
      <c r="R31" s="144">
        <f t="shared" si="36"/>
        <v>926</v>
      </c>
      <c r="S31" s="144">
        <f t="shared" si="36"/>
        <v>713</v>
      </c>
      <c r="T31" s="144">
        <f t="shared" si="36"/>
        <v>406</v>
      </c>
      <c r="U31" s="144">
        <f t="shared" si="36"/>
        <v>320</v>
      </c>
      <c r="V31" s="144">
        <f t="shared" si="36"/>
        <v>799</v>
      </c>
      <c r="W31" s="144">
        <f t="shared" si="36"/>
        <v>46</v>
      </c>
      <c r="X31" s="144">
        <f t="shared" si="36"/>
        <v>163</v>
      </c>
      <c r="Y31" s="144">
        <f t="shared" si="36"/>
        <v>8</v>
      </c>
      <c r="Z31" s="144">
        <f t="shared" si="36"/>
        <v>26</v>
      </c>
      <c r="AA31" s="144">
        <f t="shared" si="36"/>
        <v>17</v>
      </c>
      <c r="AB31" s="144">
        <f t="shared" si="36"/>
        <v>17</v>
      </c>
      <c r="AC31" s="144">
        <f t="shared" si="36"/>
        <v>0</v>
      </c>
      <c r="AD31" s="144">
        <f t="shared" si="36"/>
        <v>0</v>
      </c>
      <c r="AE31" s="144">
        <f t="shared" si="36"/>
        <v>0</v>
      </c>
      <c r="AF31" s="144">
        <f t="shared" si="36"/>
        <v>0</v>
      </c>
      <c r="AG31" s="144">
        <f t="shared" si="36"/>
        <v>29</v>
      </c>
      <c r="AH31" s="144">
        <f t="shared" si="36"/>
        <v>30</v>
      </c>
      <c r="AI31" s="144">
        <f t="shared" si="36"/>
        <v>21</v>
      </c>
      <c r="AJ31" s="144">
        <f t="shared" si="36"/>
        <v>38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742</v>
      </c>
      <c r="AZ31" s="144">
        <f>SUBTOTAL(9,AZ9:AZ30)</f>
        <v>436</v>
      </c>
      <c r="BA31" s="144">
        <f>SUBTOTAL(9,BA9:BA30)</f>
        <v>341</v>
      </c>
      <c r="BB31" s="144">
        <f>SUBTOTAL(9,BB9:BB30)</f>
        <v>837</v>
      </c>
      <c r="BC31" s="145">
        <f>SUBTOTAL(9,BC9:BC30)</f>
        <v>76</v>
      </c>
      <c r="BD31" s="227">
        <f>IF(ISNUMBER(BA31/AZ31),BA31/AZ31," - ")</f>
        <v>0.7821100917431193</v>
      </c>
      <c r="BE31" s="224">
        <f>IF(ISNUMBER(BB31/BA31),BB31/BA31, " - ")</f>
        <v>2.4545454545454546</v>
      </c>
      <c r="BF31" s="224">
        <f>IF(ISNUMBER(BC31/BA31),BC31/BA31, " - ")</f>
        <v>0.22287390029325513</v>
      </c>
      <c r="BG31" s="145">
        <f>IF(ISNUMBER((AY31+AZ31)/BA31),(AY31+AZ31)/BA31," - ")</f>
        <v>3.4545454545454546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JrKmOYhZXMrTsHH5H/LXURYUt8K958DKHbs7Y8jGbeKXHqmszpA/+lnFscn0TEe+vZUz9FVCNp9ulGLSbde5w==" saltValue="zLesxtjpT1KD/cW1jXCH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LM1xJbnQ2iAoFh6zksOMWQRgZBOrEzFdgbVHn+Q6BrEjkrG2CKeiPeDK7IvYETNqQlzFuVbBwjCuBlKnHkIQ==" saltValue="Kse+bqpJZOvmoeiqA5Vt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SEGORBE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891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119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0.66796875</v>
      </c>
      <c r="BH12" s="764">
        <f>IF(ISNUMBER(((IF(J_V="SI",Datos!L12/Datos!K12,(Datos!L12+Datos!AB12)/(Datos!K12+Datos!AA12)))*11)/factor_trimestre),((IF(J_V="SI",Datos!L12/Datos!K12,(Datos!L12+Datos!AB12)/(Datos!K12+Datos!AA12)))*11)/factor_trimestre," - ")</f>
        <v>12.43859649122807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3.484320557491289E-2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17</v>
      </c>
      <c r="AI14" s="1198">
        <f t="shared" si="2"/>
        <v>0</v>
      </c>
      <c r="AJ14" s="1198">
        <f t="shared" si="2"/>
        <v>0</v>
      </c>
      <c r="AK14" s="1198">
        <f t="shared" si="2"/>
        <v>0</v>
      </c>
      <c r="AL14" s="1198">
        <f t="shared" si="2"/>
        <v>0</v>
      </c>
      <c r="AM14" s="1198">
        <f t="shared" si="2"/>
        <v>891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119</v>
      </c>
      <c r="BE14" s="1198">
        <f t="shared" si="2"/>
        <v>0</v>
      </c>
      <c r="BF14" s="1198">
        <f t="shared" si="2"/>
        <v>0</v>
      </c>
      <c r="BG14" s="1198">
        <f>IF(ISNUMBER(Datos!K14/Datos!J14),Datos!K14/Datos!J14," - ")</f>
        <v>0.66956521739130437</v>
      </c>
      <c r="BH14" s="1202">
        <f>IF(ISNUMBER(((Datos!L14/Datos!K14)*11)/factor_trimestre),((Datos!L14/Datos!K14)*11)/factor_trimestre," - ")</f>
        <v>13.480519480519481</v>
      </c>
      <c r="BI14" s="1198">
        <f>IF(ISNUMBER('Resol  Asuntos'!D14/NºAsuntos!G14),'Resol  Asuntos'!D14/NºAsuntos!G14," - ")</f>
        <v>0.1111111111111111</v>
      </c>
      <c r="BJ14" s="1198" t="str">
        <f>IF(ISNUMBER(Datos!CI14/Datos!CJ14),Datos!CI14/Datos!CJ14," - ")</f>
        <v xml:space="preserve"> - </v>
      </c>
      <c r="BK14" s="1198">
        <f>SUBTOTAL(9,BK8:BK13)</f>
        <v>0</v>
      </c>
      <c r="BL14" s="1198" t="str">
        <f>IF(ISNUMBER((I14-AB14+L14)/(F14)),(I14-AB14+L14)/(F14)," - ")</f>
        <v xml:space="preserve"> - </v>
      </c>
      <c r="BM14" s="1203">
        <f>SUBTOTAL(9,BM9:BM13)</f>
        <v>3.484320557491289E-2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219</v>
      </c>
      <c r="G17" s="743">
        <f>IF(ISNUMBER(IF(D_I="SI",Datos!I17,Datos!I17+Datos!AC17)),IF(D_I="SI",Datos!I17,Datos!I17+Datos!AC17)," - ")</f>
        <v>162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108</v>
      </c>
      <c r="AC17" s="240">
        <f>IF(ISNUMBER(Datos!Q17),Datos!Q17," - ")</f>
        <v>0</v>
      </c>
      <c r="AD17" s="374"/>
      <c r="AE17" s="562"/>
      <c r="AF17" s="741">
        <f>IF(ISNUMBER(IF(D_I="SI",Datos!L17,Datos!L17+Datos!AF17)),IF(D_I="SI",Datos!L17,Datos!L17+Datos!AF17)," - ")</f>
        <v>305</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0.55670103092783507</v>
      </c>
      <c r="BH17" s="764">
        <f>IF(ISNUMBER(((IF(D_I="SI",Datos!L17/Datos!K17,(Datos!L17+Datos!AF17)/(Datos!K17+Datos!AE17)))*11)/factor_trimestre),((IF(D_I="SI",Datos!L17/Datos!K17,(Datos!L17+Datos!AF17)/(Datos!K17+Datos!AE17)))*11)/factor_trimestre," - ")</f>
        <v>8.4722222222222214</v>
      </c>
      <c r="BI17" s="266">
        <f>IF(ISNUMBER('Resol  Asuntos'!D17/NºAsuntos!G17),'Resol  Asuntos'!D17/NºAsuntos!G17," - ")</f>
        <v>0.23148148148148148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219</v>
      </c>
      <c r="G23" s="1197">
        <f>SUBTOTAL(9,G16:G22)</f>
        <v>163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v>
      </c>
      <c r="AC23" s="1198">
        <f t="shared" si="5"/>
        <v>0</v>
      </c>
      <c r="AD23" s="1198">
        <f t="shared" si="5"/>
        <v>0</v>
      </c>
      <c r="AE23" s="1198">
        <f t="shared" si="5"/>
        <v>0</v>
      </c>
      <c r="AF23" s="1198">
        <f t="shared" si="5"/>
        <v>306</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72</v>
      </c>
      <c r="BE23" s="1198">
        <f t="shared" si="5"/>
        <v>0</v>
      </c>
      <c r="BF23" s="1198">
        <f t="shared" si="5"/>
        <v>0</v>
      </c>
      <c r="BG23" s="1198">
        <f>IF(ISNUMBER(Datos!K23/Datos!J23),Datos!K23/Datos!J23," - ")</f>
        <v>0.55670103092783507</v>
      </c>
      <c r="BH23" s="1202">
        <f>IF(ISNUMBER(((Datos!L23/Datos!K23)*11)/factor_trimestre),((Datos!L23/Datos!K23)*11)/factor_trimestre," - ")</f>
        <v>8.5</v>
      </c>
      <c r="BI23" s="1198">
        <f>SUBTOTAL(9,BI16:BI22)</f>
        <v>0.23148148148148148</v>
      </c>
      <c r="BJ23" s="1198">
        <f>SUBTOTAL(9,BJ16:BJ22)</f>
        <v>0</v>
      </c>
      <c r="BK23" s="1198">
        <f>SUBTOTAL(9,BK16:BK22)</f>
        <v>0</v>
      </c>
      <c r="BL23" s="1198">
        <f>IF(ISNUMBER((I23-AB23+L23)/(F23)),(I23-AB23+L23)/(F23)," - ")</f>
        <v>-0.49315068493150682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219</v>
      </c>
      <c r="G31" s="1117">
        <f t="shared" si="18"/>
        <v>163</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v>
      </c>
      <c r="AC31" s="1118">
        <f t="shared" si="19"/>
        <v>19</v>
      </c>
      <c r="AD31" s="1118">
        <f t="shared" si="19"/>
        <v>0</v>
      </c>
      <c r="AE31" s="1118">
        <f t="shared" si="19"/>
        <v>0</v>
      </c>
      <c r="AF31" s="1125">
        <f t="shared" si="19"/>
        <v>306</v>
      </c>
      <c r="AG31" s="1125">
        <f t="shared" si="19"/>
        <v>0</v>
      </c>
      <c r="AH31" s="1125">
        <f t="shared" si="19"/>
        <v>17</v>
      </c>
      <c r="AI31" s="1125">
        <f t="shared" si="19"/>
        <v>0</v>
      </c>
      <c r="AJ31" s="1118">
        <f t="shared" si="19"/>
        <v>0</v>
      </c>
      <c r="AK31" s="1125">
        <f t="shared" si="19"/>
        <v>0</v>
      </c>
      <c r="AL31" s="1125">
        <f t="shared" si="19"/>
        <v>0</v>
      </c>
      <c r="AM31" s="1125">
        <f t="shared" si="19"/>
        <v>926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v>
      </c>
      <c r="BD31" s="1117">
        <f t="shared" si="19"/>
        <v>191</v>
      </c>
      <c r="BE31" s="1117">
        <f t="shared" si="19"/>
        <v>0</v>
      </c>
      <c r="BF31" s="1127">
        <f t="shared" si="19"/>
        <v>0</v>
      </c>
      <c r="BG31" s="1223">
        <f>IF(ISNUMBER(Datos!K31/Datos!J31),Datos!K31/Datos!J31," - ")</f>
        <v>0.61792452830188682</v>
      </c>
      <c r="BH31" s="1223">
        <f>IF(ISNUMBER(((Datos!L31/Datos!K31)*11)/factor_trimestre),((Datos!L31/Datos!K31)*11)/factor_trimestre," - ")</f>
        <v>11.427480916030534</v>
      </c>
      <c r="BI31" s="1103">
        <f>IF(ISNUMBER(Datos!J31/Datos!I31),Datos!J31/Datos!I31," - ")</f>
        <v>0.54428754813863933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-0.49315068493150682</v>
      </c>
      <c r="BM31" s="1188">
        <f>IF(ISNUMBER((Datos!P31-Datos!Q31+R31)/(Datos!R31-Datos!P31+Datos!Q31-R31)),(Datos!P31-Datos!Q31+R31)/(Datos!R31-Datos!P31+Datos!Q31-R31)," - ")</f>
        <v>3.3482142857142856E-2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113.09111370925658</v>
      </c>
      <c r="G33" s="674">
        <f>IF(ISNUMBER(STDEV(G8:G30)),STDEV(G8:G30),"-")</f>
        <v>79.195658851684428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52.698603939220796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11.976166808648392</v>
      </c>
      <c r="BD33" s="673"/>
      <c r="BE33" s="673">
        <f>IF(ISNUMBER(STDEV(BE8:BE30)),STDEV(BE8:BE30),"-")</f>
        <v>0</v>
      </c>
      <c r="BF33" s="678">
        <f>IF(ISNUMBER(STDEV(BF8:BF30)),STDEV(BF8:BF30),"-")</f>
        <v>0</v>
      </c>
      <c r="BG33" s="1052">
        <f>IF(ISNUMBER(STDEV(BG8:BG30)),STDEV(BG8:BG30),"-")</f>
        <v>6.4704590573426771E-2</v>
      </c>
      <c r="BH33" s="1058">
        <f>IF(ISNUMBER(STDEV(BH8:BH30)),STDEV(BH8:BH30),"-")</f>
        <v>2.6175634027087114</v>
      </c>
      <c r="BI33" s="273">
        <f>IF(ISNUMBER(STDEV(BI8:BI30)),STDEV(BI8:BI30),"-")</f>
        <v>6.9495865735788309E-2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qRytMuaI8cjWyce+qxdEOMkakJMYeZQegv+2tmxL2QwVfMXpzA4MrNSVwEnhY7G9vDF2gOr20yL9ZdO8X5Uyw==" saltValue="WBURmXUQ6N4qsyIJejm5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SEGORBE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891</v>
      </c>
      <c r="AF12" s="693" t="str">
        <f>IF(ISNUMBER(Datos!BV12),Datos!BV12," - ")</f>
        <v xml:space="preserve"> - </v>
      </c>
      <c r="AG12" s="552" t="str">
        <f>IF(ISNUMBER(Datos!DV12),Datos!DV12," - ")</f>
        <v xml:space="preserve"> - </v>
      </c>
      <c r="AH12" s="553"/>
      <c r="AI12" s="554"/>
      <c r="AJ12" s="552">
        <f>IF(ISNUMBER(Datos!M12),Datos!M12," - ")</f>
        <v>19</v>
      </c>
      <c r="AK12" s="693">
        <f>IF(ISNUMBER(Datos!N12),Datos!N12," - ")</f>
        <v>119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12.43859649122807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3.484320557491289E-2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891</v>
      </c>
      <c r="AF14" s="1211">
        <f t="shared" si="3"/>
        <v>0</v>
      </c>
      <c r="AG14" s="1211">
        <f t="shared" si="3"/>
        <v>0</v>
      </c>
      <c r="AH14" s="1211">
        <f t="shared" si="3"/>
        <v>0</v>
      </c>
      <c r="AI14" s="1211">
        <f t="shared" si="3"/>
        <v>0</v>
      </c>
      <c r="AJ14" s="1211">
        <f t="shared" si="3"/>
        <v>19</v>
      </c>
      <c r="AK14" s="1211">
        <f t="shared" si="3"/>
        <v>119</v>
      </c>
      <c r="AL14" s="1211">
        <f t="shared" si="3"/>
        <v>0</v>
      </c>
      <c r="AM14" s="1211">
        <f t="shared" si="3"/>
        <v>0</v>
      </c>
      <c r="AN14" s="1211">
        <f t="shared" si="3"/>
        <v>0</v>
      </c>
      <c r="AO14" s="1203">
        <f>IF(ISNUMBER(((NºAsuntos!I14/NºAsuntos!G14)*11)/factor_trimestre),((NºAsuntos!I14/NºAsuntos!G14)*11)/factor_trimestre," - ")</f>
        <v>12.43859649122807</v>
      </c>
      <c r="AP14" s="1213" t="str">
        <f>IF(ISNUMBER(Datos!CI14/Datos!CJ14),Datos!CI14/Datos!CJ14," - ")</f>
        <v xml:space="preserve"> - </v>
      </c>
      <c r="AQ14" s="1236">
        <f t="shared" ref="AQ14:AV14" si="4">SUBTOTAL(9,AQ9:AQ13)</f>
        <v>0</v>
      </c>
      <c r="AR14" s="1236">
        <f t="shared" si="4"/>
        <v>3.484320557491289E-2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219</v>
      </c>
      <c r="G17" s="552">
        <f>IF(ISNUMBER(IF(D_I="SI",Datos!I17,Datos!I17+Datos!AC17)),IF(D_I="SI",Datos!I17,Datos!I17+Datos!AC17)," - ")</f>
        <v>162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108</v>
      </c>
      <c r="Z17" s="805">
        <f>IF(ISNUMBER(Datos!Q17),Datos!Q17," - ")</f>
        <v>0</v>
      </c>
      <c r="AA17" s="551">
        <f>IF(ISNUMBER(IF(D_I="SI",Datos!L17,Datos!L17+Datos!AF17)),IF(D_I="SI",Datos!L17,Datos!L17+Datos!AF17)," - ")</f>
        <v>305</v>
      </c>
      <c r="AB17" s="549"/>
      <c r="AC17" s="549"/>
      <c r="AD17" s="563"/>
      <c r="AE17" s="563">
        <f>IF(ISNUMBER(Datos!R17),Datos!R17," - ")</f>
        <v>35</v>
      </c>
      <c r="AF17" s="693" t="str">
        <f>IF(ISNUMBER(Datos!BV17),Datos!BV17," - ")</f>
        <v xml:space="preserve"> - </v>
      </c>
      <c r="AG17" s="552"/>
      <c r="AH17" s="553"/>
      <c r="AI17" s="554"/>
      <c r="AJ17" s="552">
        <f>IF(ISNUMBER(Datos!M17),Datos!M17," - ")</f>
        <v>25</v>
      </c>
      <c r="AK17" s="693">
        <f>IF(ISNUMBER(Datos!N17),Datos!N17," - ")</f>
        <v>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8.4722222222222214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219</v>
      </c>
      <c r="G23" s="1197">
        <f>SUBTOTAL(9,G16:G22)</f>
        <v>163</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v>
      </c>
      <c r="Z23" s="1240">
        <f t="shared" si="6"/>
        <v>0</v>
      </c>
      <c r="AA23" s="1240">
        <f t="shared" si="6"/>
        <v>306</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25</v>
      </c>
      <c r="AK23" s="1240">
        <f t="shared" si="6"/>
        <v>72</v>
      </c>
      <c r="AL23" s="1240">
        <f t="shared" si="6"/>
        <v>0</v>
      </c>
      <c r="AM23" s="1240">
        <f t="shared" si="6"/>
        <v>0</v>
      </c>
      <c r="AN23" s="1240">
        <f t="shared" si="6"/>
        <v>0</v>
      </c>
      <c r="AO23" s="1242">
        <f>IF(ISNUMBER(((NºAsuntos!I23/NºAsuntos!G23)*11)/factor_trimestre),((NºAsuntos!I23/NºAsuntos!G23)*11)/factor_trimestre," - ")</f>
        <v>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219</v>
      </c>
      <c r="G31" s="1117">
        <f t="shared" si="12"/>
        <v>163</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v>
      </c>
      <c r="Z31" s="1124">
        <f t="shared" si="13"/>
        <v>19</v>
      </c>
      <c r="AA31" s="1125">
        <f t="shared" si="13"/>
        <v>306</v>
      </c>
      <c r="AB31" s="1125">
        <f t="shared" si="13"/>
        <v>0</v>
      </c>
      <c r="AC31" s="1125">
        <f t="shared" si="13"/>
        <v>0</v>
      </c>
      <c r="AD31" s="1126">
        <f t="shared" si="13"/>
        <v>0</v>
      </c>
      <c r="AE31" s="1126">
        <f t="shared" si="13"/>
        <v>926</v>
      </c>
      <c r="AF31" s="1127">
        <f t="shared" si="13"/>
        <v>0</v>
      </c>
      <c r="AG31" s="1128">
        <f t="shared" si="13"/>
        <v>0</v>
      </c>
      <c r="AH31" s="1129">
        <f t="shared" si="13"/>
        <v>0</v>
      </c>
      <c r="AI31" s="1127">
        <f t="shared" si="13"/>
        <v>0</v>
      </c>
      <c r="AJ31" s="1117">
        <f t="shared" si="13"/>
        <v>44</v>
      </c>
      <c r="AK31" s="1117">
        <f t="shared" si="13"/>
        <v>191</v>
      </c>
      <c r="AL31" s="1117">
        <f t="shared" si="13"/>
        <v>0</v>
      </c>
      <c r="AM31" s="1130">
        <f t="shared" si="13"/>
        <v>0</v>
      </c>
      <c r="AN31" s="1120">
        <f>IF(ISNUMBER(Datos!K31/Datos!J31),Datos!K31/Datos!J31," - ")</f>
        <v>0.61792452830188682</v>
      </c>
      <c r="AO31" s="1120">
        <f>IF(ISNUMBER(FIND("06",Criterios!A8,1)),(IF(ISNUMBER(((Datos!R31/Datos!Q31)*11)/factor_trimestre),((Datos!R31/Datos!Q31)*11)/factor_trimestre," - ")),(IF(ISNUMBER(((Datos!L31/Datos!K31)*11)/factor_trimestre),((Datos!L31/Datos!K31)*11)/factor_trimestre," - ")))</f>
        <v>11.427480916030534</v>
      </c>
      <c r="AP31" s="1131" t="str">
        <f>IF(ISNUMBER(Datos!CI31/Datos!CJ31),Datos!CI31/Datos!CJ31," - ")</f>
        <v xml:space="preserve"> - </v>
      </c>
      <c r="AQ31" s="1131">
        <f>IF(OR(ISNUMBER(FIND("01",Criterios!A8,1)),ISNUMBER(FIND("02",Criterios!A8,1)),ISNUMBER(FIND("03",Criterios!A8,1)),ISNUMBER(FIND("04",Criterios!A8,1))),(J31-Y31+K31)/(F31-K31),(I31-Y31+K31)/(F31-K31))</f>
        <v>-0.49315068493150682</v>
      </c>
      <c r="AR31" s="1131">
        <f>IF(ISNUMBER((Datos!P31-Datos!Q31+O31)/(Datos!R31-Datos!P31+Datos!Q31-O31)),(Datos!P31-Datos!Q31+O31)/(Datos!R31-Datos!P31+Datos!Q31-O31)," - ")</f>
        <v>3.3482142857142856E-2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113.09111370925658</v>
      </c>
      <c r="G33" s="674">
        <f>IF(ISNUMBER(STDEV(G8:G30)),STDEV(G8:G30),"-")</f>
        <v>79.195658851684428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11.976166808648392</v>
      </c>
      <c r="AK33" s="276"/>
      <c r="AL33" s="276">
        <f>IF(ISNUMBER(STDEV(AL8:AL30)),STDEV(AL8:AL30),"-")</f>
        <v>0</v>
      </c>
      <c r="AM33" s="278">
        <f>IF(ISNUMBER(STDEV(AM8:AM30)),STDEV(AM8:AM30),"-")</f>
        <v>0</v>
      </c>
      <c r="AN33" s="660">
        <f>IF(ISNUMBER(STDEV(AN8:AN30)),STDEV(AN8:AN30),"-")</f>
        <v>0</v>
      </c>
      <c r="AO33" s="661">
        <f>IF(ISNUMBER(STDEV(AO8:AO30)),STDEV(AO8:AO30),"-")</f>
        <v>2.2819966756116155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LMckVHj5nDJedrCD9u60cOWFx2+0gDXdCt/0mAvu1FXZqYWhod6KUlZ8I1taGZm7CeDCSvWI/VOb2fcZGFHpQ==" saltValue="K0xDP0ChKL468qYw9N8l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vq2Ocq6uRddtz/elzdP1T76KyaFpW3soMyImwis84UTZRb/x6pZXd9sbiDL8KjAzcCqViU6Cz9U7z2RC6UrBg==" saltValue="FYuN4McPji6Cg6aALRna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gb7hxqQ0dvii9S8XgDCFOM9GlY/1gdAQgP8OQjTjdmAHwYuZwTBXNKt9tefi6ljeVaiCbQsM0T63oWXP+LaWA==" saltValue="nC4tT9bHhGzKEmJo4qjL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SEGORBE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0.1111111111111111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7.8567420131838608E-2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rol4UOFgi1v/5/ydU7miEsneZqHBiukuyx1woLu7+W/HoJ9cwamgpGtb53P3I7PYluazbKwVHYRfOnC25wHTg==" saltValue="v4/cNdTRdZfMCXXWn5ka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VQ3mEfxhVVenpUYlFnbQuNR9BuMza4I9m1QPbIzfifYbriKUJtv+1/JY7ULcv63oxrNP3sadBbkO6BYlAs+YQ==" saltValue="z32kkmD5jIwHwoEP3zuK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SEGORBE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624</v>
      </c>
      <c r="D12" s="452">
        <f>IF(ISNUMBER(C12/Datos!BH12),C12/Datos!BH12," - ")</f>
        <v>624</v>
      </c>
      <c r="E12" s="451">
        <f>IF(ISNUMBER(IF(J_V="SI",Datos!J12,Datos!J12+Datos!Z12)),IF(J_V="SI",Datos!J12,Datos!J12+Datos!Z12)," - ")</f>
        <v>256</v>
      </c>
      <c r="F12" s="452">
        <f>IF(ISNUMBER(E12/B12),E12/B12," - ")</f>
        <v>256</v>
      </c>
      <c r="G12" s="451">
        <f>IF(ISNUMBER(IF(J_V="SI",Datos!K12,Datos!K12+Datos!AA12)),IF(J_V="SI",Datos!K12,Datos!K12+Datos!AA12)," - ")</f>
        <v>171</v>
      </c>
      <c r="H12" s="452">
        <f>IF(ISNUMBER(G12/B12),G12/B12," - ")</f>
        <v>171</v>
      </c>
      <c r="I12" s="451">
        <f>IF(ISNUMBER(IF(J_V="SI",Datos!L12,Datos!L12+Datos!AB12)),IF(J_V="SI",Datos!L12,Datos!L12+Datos!AB12)," - ")</f>
        <v>709</v>
      </c>
      <c r="J12" s="452">
        <f>IF(ISNUMBER(I12/B12),I12/B12," - ")</f>
        <v>709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624</v>
      </c>
      <c r="D14" s="1147" t="str">
        <f>IF(ISNUMBER(C14/Datos!BI14),C14/Datos!BI14," - ")</f>
        <v xml:space="preserve"> - </v>
      </c>
      <c r="E14" s="1146">
        <f>SUBTOTAL(9,E8:E13)</f>
        <v>256</v>
      </c>
      <c r="F14" s="1147">
        <f>IF(ISNUMBER(E14/B14),E14/B14," - ")</f>
        <v>256</v>
      </c>
      <c r="G14" s="1146">
        <f>SUBTOTAL(9,G8:G13)</f>
        <v>171</v>
      </c>
      <c r="H14" s="1147">
        <f>IF(ISNUMBER(G14/B14),G14/B14," - ")</f>
        <v>171</v>
      </c>
      <c r="I14" s="1146">
        <f>SUBTOTAL(9,I8:I13)</f>
        <v>709</v>
      </c>
      <c r="J14" s="1147">
        <f>IF(ISNUMBER(I14/B14),I14/B14," - ")</f>
        <v>709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162</v>
      </c>
      <c r="D17" s="452">
        <f>IF(ISNUMBER(C17/Datos!BH17),C17/Datos!BH17," - ")</f>
        <v>162</v>
      </c>
      <c r="E17" s="451">
        <f>IF(ISNUMBER(IF(D_I="SI",Datos!J17,Datos!J17+Datos!AD17)),IF(D_I="SI",Datos!J17,Datos!J17+Datos!AD17)," - ")</f>
        <v>194</v>
      </c>
      <c r="F17" s="452">
        <f>IF(ISNUMBER(E17/B17),E17/B17," - ")</f>
        <v>194</v>
      </c>
      <c r="G17" s="451">
        <f>IF(ISNUMBER(IF(D_I="SI",Datos!K17,Datos!K17+Datos!AE17)),IF(D_I="SI",Datos!K17,Datos!K17+Datos!AE17)," - ")</f>
        <v>108</v>
      </c>
      <c r="H17" s="452">
        <f>IF(ISNUMBER(G17/B17),G17/B17," - ")</f>
        <v>108</v>
      </c>
      <c r="I17" s="451">
        <f>IF(ISNUMBER(IF(D_I="SI",Datos!L17,Datos!L17+Datos!AF17)),IF(D_I="SI",Datos!L17,Datos!L17+Datos!AF17)," - ")</f>
        <v>305</v>
      </c>
      <c r="J17" s="452">
        <f>IF(ISNUMBER(I17/B17),I17/B17," - ")</f>
        <v>305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v>
      </c>
      <c r="D18" s="452">
        <f>IF(ISNUMBER(C18/Datos!BH18),C18/Datos!BH18," - ")</f>
        <v>1</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163</v>
      </c>
      <c r="D23" s="1147" t="str">
        <f>IF(ISNUMBER(C23/Datos!BI23),C23/Datos!BI23," - ")</f>
        <v xml:space="preserve"> - </v>
      </c>
      <c r="E23" s="1146">
        <f>SUBTOTAL(9,E15:E22)</f>
        <v>194</v>
      </c>
      <c r="F23" s="1147">
        <f>IF(ISNUMBER(E23/B23),E23/B23," - ")</f>
        <v>194</v>
      </c>
      <c r="G23" s="1146">
        <f>SUBTOTAL(9,G15:G22)</f>
        <v>108</v>
      </c>
      <c r="H23" s="1147">
        <f>IF(ISNUMBER(G23/B23),G23/B23," - ")</f>
        <v>108</v>
      </c>
      <c r="I23" s="1146">
        <f>SUBTOTAL(9,I15:I22)</f>
        <v>306</v>
      </c>
      <c r="J23" s="1147">
        <f>IF(ISNUMBER(I23/B23),I23/B23," - ")</f>
        <v>306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787</v>
      </c>
      <c r="D31" s="1085" t="str">
        <f>IF(ISNUMBER(C31/Datos!BI31),C31/Datos!BI31," - ")</f>
        <v xml:space="preserve"> - </v>
      </c>
      <c r="E31" s="1084">
        <f>SUBTOTAL(9,E9:E30)</f>
        <v>450</v>
      </c>
      <c r="F31" s="1085">
        <f>IF(ISNUMBER(E31/B31),E31/B31," - ")</f>
        <v>450</v>
      </c>
      <c r="G31" s="1084">
        <f>SUBTOTAL(9,G9:G30)</f>
        <v>279</v>
      </c>
      <c r="H31" s="1085">
        <f>IF(ISNUMBER(G31/B31),G31/B31," - ")</f>
        <v>279</v>
      </c>
      <c r="I31" s="1084">
        <f>SUBTOTAL(9,I9:I30)</f>
        <v>1015</v>
      </c>
      <c r="J31" s="1085">
        <f>IF(ISNUMBER(I31/B31),I31/B31," - ")</f>
        <v>1015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4rXc+TC1wBAXd5lMZ1qk1nksfes2DG2DISoBivCijx5s8eJ9uHhoCaqnr0SCzbAgTj33rvIZT4i3UlHRo13WQ==" saltValue="yeU8Q+iwgT5AK7eXHTsc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SEGORBE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119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12.43859649122807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3.484320557491289E-2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891</v>
      </c>
      <c r="AI14" s="1257">
        <f t="shared" si="1"/>
        <v>0</v>
      </c>
      <c r="AJ14" s="1257">
        <f t="shared" si="1"/>
        <v>0</v>
      </c>
      <c r="AK14" s="1257">
        <f t="shared" si="1"/>
        <v>0</v>
      </c>
      <c r="AL14" s="1257">
        <f t="shared" si="1"/>
        <v>19</v>
      </c>
      <c r="AM14" s="1257">
        <f t="shared" si="1"/>
        <v>119</v>
      </c>
      <c r="AN14" s="1257">
        <f t="shared" si="1"/>
        <v>0</v>
      </c>
      <c r="AO14" s="1257">
        <f t="shared" si="1"/>
        <v>0</v>
      </c>
      <c r="AP14" s="1262">
        <f>IF(ISNUMBER(((Datos!L14/Datos!K14)*11)/factor_trimestre),((Datos!L14/Datos!K14)*11)/factor_trimestre," - ")</f>
        <v>13.480519480519481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3.484320557491289E-2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8.5</v>
      </c>
      <c r="AQ23" s="1262">
        <f>IF(ISNUMBER(((Datos!M23/Datos!L23)*11)/factor_trimestre),((Datos!M23/Datos!L23)*11)/factor_trimestre," - ")</f>
        <v>0.24509803921568629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-0.10057471264367816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891</v>
      </c>
      <c r="AI31" s="1285">
        <f t="shared" si="9"/>
        <v>0</v>
      </c>
      <c r="AJ31" s="1286">
        <f t="shared" si="9"/>
        <v>0</v>
      </c>
      <c r="AK31" s="1286">
        <f t="shared" si="9"/>
        <v>0</v>
      </c>
      <c r="AL31" s="1278">
        <f t="shared" si="9"/>
        <v>19</v>
      </c>
      <c r="AM31" s="1278">
        <f t="shared" si="9"/>
        <v>119</v>
      </c>
      <c r="AN31" s="1278">
        <f t="shared" si="9"/>
        <v>0</v>
      </c>
      <c r="AO31" s="1278">
        <f t="shared" si="9"/>
        <v>0</v>
      </c>
      <c r="AP31" s="1278">
        <f>IF(ISNUMBER(((Datos!L31/Datos!K31)*11)/factor_trimestre),((Datos!L31/Datos!K31)*11)/factor_trimestre," - ")</f>
        <v>11.427480916030534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3.3482142857142856E-2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2.6269031238374643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zqx0wdXNXXLZcMMPtciVovmgXM6KInO1gl2bCy5cK0E5N8OXcJL307ztWu9/U3QtOgFQ5cD8Hn0Bd/UeblOCw==" saltValue="SaA0GwhByTwvFj4J1Ktd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SEGORBE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XCjJIv5qdybBi9+wluii48XbHayhU7TUr5o6zNJKWgHI2wXNLQty40rAI+6+ll/I0rwL7WbvA7zBJJGA33diw==" saltValue="vk6ul2fyGBRiAivoxRFs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SEGORBE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119</v>
      </c>
      <c r="G12" s="452">
        <f t="shared" si="1"/>
        <v>119</v>
      </c>
      <c r="H12" s="451">
        <f>IF(ISNUMBER(Datos!O12),Datos!O12," - ")</f>
        <v>25</v>
      </c>
      <c r="I12" s="452">
        <f t="shared" si="2"/>
        <v>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119</v>
      </c>
      <c r="G14" s="1147">
        <f t="shared" si="1"/>
        <v>59.5</v>
      </c>
      <c r="H14" s="1146">
        <f>SUBTOTAL(9,H9:H13)</f>
        <v>25</v>
      </c>
      <c r="I14" s="1147">
        <f>IF(ISNUMBER(H14/B14),H14/B14," - ")</f>
        <v>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25</v>
      </c>
      <c r="E17" s="452">
        <f t="shared" si="3"/>
        <v>25</v>
      </c>
      <c r="F17" s="451">
        <f>IF(ISNUMBER(Datos!N17),Datos!N17," - ")</f>
        <v>72</v>
      </c>
      <c r="G17" s="452">
        <f t="shared" si="4"/>
        <v>72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72</v>
      </c>
      <c r="G23" s="1147">
        <f t="shared" si="4"/>
        <v>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44</v>
      </c>
      <c r="E31" s="1085">
        <f>IF(ISNUMBER(D31/B31),D31/B31," - ")</f>
        <v>44</v>
      </c>
      <c r="F31" s="1084">
        <f>SUBTOTAL(9,F8:F30)</f>
        <v>191</v>
      </c>
      <c r="G31" s="1085">
        <f>IF(ISNUMBER(F31/B31),F31/B31," - ")</f>
        <v>191</v>
      </c>
      <c r="H31" s="1084">
        <f>SUBTOTAL(9,H8:H30)</f>
        <v>25</v>
      </c>
      <c r="I31" s="1085">
        <f>IF(ISNUMBER(H31/B31),H31/B31," - ")</f>
        <v>25</v>
      </c>
    </row>
    <row r="34" spans="1:1">
      <c r="A34" s="439" t="str">
        <f>Criterios!A4</f>
        <v>Fecha Informe: 06 may. 2023</v>
      </c>
    </row>
    <row r="39" spans="1:1">
      <c r="A39" s="462"/>
    </row>
  </sheetData>
  <sheetProtection algorithmName="SHA-512" hashValue="xHplRo4O5Yuw7pac6dJOulGo3fnyfM5qhACsfoN7SOvJBoCXVAtdvx6msHecW92czk138ycU8K5DZ+YbGv113w==" saltValue="FR6GNZRKOcaMrUbBxfLN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SEGORBE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19</v>
      </c>
      <c r="D12" s="456">
        <f>IF(ISNUMBER(Datos!R12),Datos!R12," - ")</f>
        <v>891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19</v>
      </c>
      <c r="D14" s="1148">
        <f>SUBTOTAL(9,D9:D13)</f>
        <v>891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19</v>
      </c>
      <c r="D31" s="1090">
        <f>SUBTOTAL(9,D8:D30)</f>
        <v>926</v>
      </c>
    </row>
    <row r="32" spans="1:4" ht="7.5" customHeight="1"/>
    <row r="33" spans="1:1" ht="6" customHeight="1"/>
    <row r="34" spans="1:1">
      <c r="A34" s="439" t="str">
        <f>Criterios!A4</f>
        <v>Fecha Informe: 06 may. 2023</v>
      </c>
    </row>
    <row r="39" spans="1:1">
      <c r="A39" s="462"/>
    </row>
  </sheetData>
  <sheetProtection algorithmName="SHA-512" hashValue="x2F6UDrCyH5td2LqvuUKXSceleKA0nRF/gxxKvenkdnmXaWdn/gCzOimDwqWfLlSxm6BfeI4Q6/DnV37UG/YTA==" saltValue="UnDHpMlUZuMoelprb3cL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SEGORBE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0.45454545454545453</v>
      </c>
      <c r="C12" s="515">
        <f>IF(ISNUMBER(
   IF(J_V="SI",(Datos!J12-Datos!T12)/Datos!T12,(Datos!J12+Datos!Z12-(Datos!T12+Datos!AH12))/(Datos!T12+Datos!AH12))
     ),IF(J_V="SI",(Datos!J12-Datos!T12)/Datos!T12,(Datos!J12+Datos!Z12-(Datos!T12+Datos!AH12))/(Datos!T12+Datos!AH12))," - ")</f>
        <v>1.5873015873015872E-2</v>
      </c>
      <c r="D12" s="515">
        <f>IF(ISNUMBER(
   IF(J_V="SI",(Datos!K12-Datos!U12)/Datos!U12,(Datos!K12+Datos!AA12-(Datos!U12+Datos!AI12))/(Datos!U12+Datos!AI12))
     ),IF(J_V="SI",(Datos!K12-Datos!U12)/Datos!U12,(Datos!K12+Datos!AA12-(Datos!U12+Datos!AI12))/(Datos!U12+Datos!AI12))," - ")</f>
        <v>-3.9325842696629212E-2</v>
      </c>
      <c r="E12" s="515">
        <f>IF(ISNUMBER(
   IF(J_V="SI",(Datos!L12-Datos!V12)/Datos!V12,(Datos!L12+Datos!AB12-(Datos!V12+Datos!AJ12))/(Datos!V12+Datos!AJ12))
     ),IF(J_V="SI",(Datos!L12-Datos!V12)/Datos!V12,(Datos!L12+Datos!AB12-(Datos!V12+Datos!AJ12))/(Datos!V12+Datos!AJ12))," - ")</f>
        <v>0.40954274353876741</v>
      </c>
      <c r="F12" s="515">
        <f>IF(ISNUMBER((Datos!M12-Datos!W12)/Datos!W12),(Datos!M12-Datos!W12)/Datos!W12," - ")</f>
        <v>-0.29629629629629628</v>
      </c>
      <c r="G12" s="516">
        <f>IF(ISNUMBER((Datos!N12-Datos!X12)/Datos!X12),(Datos!N12-Datos!X12)/Datos!X12," - ")</f>
        <v>1.0877192982456141</v>
      </c>
      <c r="H12" s="514">
        <f>IF(ISNUMBER(((NºAsuntos!G12/NºAsuntos!E12)-Datos!BD12)/Datos!BD12),((NºAsuntos!G12/NºAsuntos!E12)-Datos!BD12)/Datos!BD12," - ")</f>
        <v>-5.4336376404494444E-2</v>
      </c>
      <c r="I12" s="515">
        <f>IF(ISNUMBER(((NºAsuntos!I12/NºAsuntos!G12)-Datos!BE12)/Datos!BE12),((NºAsuntos!I12/NºAsuntos!G12)-Datos!BE12)/Datos!BE12," - ")</f>
        <v>0.46724332368362903</v>
      </c>
      <c r="J12" s="521">
        <f>IF(ISNUMBER((('Resol  Asuntos'!D12/NºAsuntos!G12)-Datos!BF12)/Datos!BF12),(('Resol  Asuntos'!D12/NºAsuntos!G12)-Datos!BF12)/Datos!BF12," - ")</f>
        <v>-0.65302144249512672</v>
      </c>
      <c r="K12" s="522">
        <f>IF(ISNUMBER((((NºAsuntos!C12+NºAsuntos!E12)/NºAsuntos!G12)-Datos!BG12)/Datos!BG12),(((NºAsuntos!C12+NºAsuntos!E12)/NºAsuntos!G12)-Datos!BG12)/Datos!BG12," - ")</f>
        <v>0.34511511279422236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0.45454545454545453</v>
      </c>
      <c r="C14" s="1152">
        <f>IF(ISNUMBER(
   IF(J_V="SI",(Datos!J14-Datos!T14)/Datos!T14,(Datos!J14+Datos!Z14-(Datos!T14+Datos!AH14))/(Datos!T14+Datos!AH14))
     ),IF(J_V="SI",(Datos!J14-Datos!T14)/Datos!T14,(Datos!J14+Datos!Z14-(Datos!T14+Datos!AH14))/(Datos!T14+Datos!AH14))," - ")</f>
        <v>1.5873015873015872E-2</v>
      </c>
      <c r="D14" s="1152">
        <f>IF(ISNUMBER(
   IF(J_V="SI",(Datos!K14-Datos!U14)/Datos!U14,(Datos!K14+Datos!AA14-(Datos!U14+Datos!AI14))/(Datos!U14+Datos!AI14))
     ),IF(J_V="SI",(Datos!K14-Datos!U14)/Datos!U14,(Datos!K14+Datos!AA14-(Datos!U14+Datos!AI14))/(Datos!U14+Datos!AI14))," - ")</f>
        <v>-3.9325842696629212E-2</v>
      </c>
      <c r="E14" s="1152">
        <f>IF(ISNUMBER(
   IF(J_V="SI",(Datos!L14-Datos!V14)/Datos!V14,(Datos!L14+Datos!AB14-(Datos!V14+Datos!AJ14))/(Datos!V14+Datos!AJ14))
     ),IF(J_V="SI",(Datos!L14-Datos!V14)/Datos!V14,(Datos!L14+Datos!AB14-(Datos!V14+Datos!AJ14))/(Datos!V14+Datos!AJ14))," - ")</f>
        <v>0.40954274353876741</v>
      </c>
      <c r="F14" s="1153">
        <f>IF(ISNUMBER((Datos!M14-Datos!W14)/Datos!W14),(Datos!M14-Datos!W14)/Datos!W14," - ")</f>
        <v>-0.29629629629629628</v>
      </c>
      <c r="G14" s="1154">
        <f>IF(ISNUMBER((Datos!N14-Datos!X14)/Datos!X14),(Datos!N14-Datos!X14)/Datos!X14," - ")</f>
        <v>1.0877192982456141</v>
      </c>
      <c r="H14" s="1154">
        <f>IF(ISNUMBER(((NºAsuntos!G14/NºAsuntos!E14)-Datos!BD14)/Datos!BD14),((NºAsuntos!G14/NºAsuntos!E14)-Datos!BD14)/Datos!BD14," - ")</f>
        <v>-5.4336376404494444E-2</v>
      </c>
      <c r="I14" s="1154">
        <f>IF(ISNUMBER(((NºAsuntos!I14/NºAsuntos!G14)-Datos!BE14)/Datos!BE14),((NºAsuntos!I14/NºAsuntos!G14)-Datos!BE14)/Datos!BE14," - ")</f>
        <v>0.46724332368362903</v>
      </c>
      <c r="J14" s="1154">
        <f>IF(ISNUMBER((('Resol  Asuntos'!D14/NºAsuntos!G14)-Datos!BF14)/Datos!BF14),(('Resol  Asuntos'!D14/NºAsuntos!G14)-Datos!BF14)/Datos!BF14," - ")</f>
        <v>-0.65302144249512672</v>
      </c>
      <c r="K14" s="1154">
        <f>IF(ISNUMBER((((NºAsuntos!C14+NºAsuntos!E14)/NºAsuntos!G14)-Datos!BG14)/Datos!BG14),(((NºAsuntos!C14+NºAsuntos!E14)/NºAsuntos!G14)-Datos!BG14)/Datos!BG14," - ")</f>
        <v>0.34511511279422236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-0.47909967845659163</v>
      </c>
      <c r="C17" s="515">
        <f>IF(ISNUMBER(
   IF(D_I="SI",(Datos!J17-Datos!T17)/Datos!T17,(Datos!J17+Datos!AD17-(Datos!T17+Datos!AL17))/(Datos!T17+Datos!AL17))
     ),IF(D_I="SI",(Datos!J17-Datos!T17)/Datos!T17,(Datos!J17+Datos!AD17-(Datos!T17+Datos!AL17))/(Datos!T17+Datos!AL17))," - ")</f>
        <v>5.434782608695652E-2</v>
      </c>
      <c r="D17" s="515">
        <f>IF(ISNUMBER(
   IF(D_I="SI",(Datos!K17-Datos!U17)/Datos!U17,(Datos!K17+Datos!AE17-(Datos!U17+Datos!AM17))/(Datos!U17+Datos!AM17))
     ),IF(D_I="SI",(Datos!K17-Datos!U17)/Datos!U17,(Datos!K17+Datos!AE17-(Datos!U17+Datos!AM17))/(Datos!U17+Datos!AM17))," - ")</f>
        <v>-0.33742331288343558</v>
      </c>
      <c r="E17" s="515">
        <f>IF(ISNUMBER(
   IF(D_I="SI",(Datos!L17-Datos!V17)/Datos!V17,(Datos!L17+Datos!AF17-(Datos!V17+Datos!AN17))/(Datos!V17+Datos!AN17))
     ),IF(D_I="SI",(Datos!L17-Datos!V17)/Datos!V17,(Datos!L17+Datos!AF17-(Datos!V17+Datos!AN17))/(Datos!V17+Datos!AN17))," - ")</f>
        <v>-8.1325301204819275E-2</v>
      </c>
      <c r="F17" s="515">
        <f>IF(ISNUMBER((Datos!M17-Datos!W17)/Datos!W17),(Datos!M17-Datos!W17)/Datos!W17," - ")</f>
        <v>0.31578947368421051</v>
      </c>
      <c r="G17" s="516">
        <f>IF(ISNUMBER((Datos!N17-Datos!X17)/Datos!X17),(Datos!N17-Datos!X17)/Datos!X17," - ")</f>
        <v>-0.32075471698113206</v>
      </c>
      <c r="H17" s="514">
        <f>IF(ISNUMBER(((NºAsuntos!G17/NºAsuntos!E17)-Datos!BD17)/Datos!BD17),((NºAsuntos!G17/NºAsuntos!E17)-Datos!BD17)/Datos!BD17," - ")</f>
        <v>-0.37157675036367088</v>
      </c>
      <c r="I17" s="515">
        <f>IF(ISNUMBER(((NºAsuntos!I17/NºAsuntos!G17)-Datos!BE17)/Datos!BE17),((NºAsuntos!I17/NºAsuntos!G17)-Datos!BE17)/Datos!BE17," - ")</f>
        <v>0.38651829540383764</v>
      </c>
      <c r="J17" s="521">
        <f>IF(ISNUMBER((('Resol  Asuntos'!D17/NºAsuntos!G17)-Datos!BF17)/Datos!BF17),(('Resol  Asuntos'!D17/NºAsuntos!G17)-Datos!BF17)/Datos!BF17," - ")</f>
        <v>0.98586744639376234</v>
      </c>
      <c r="K17" s="522">
        <f>IF(ISNUMBER((((NºAsuntos!C17+NºAsuntos!E17)/NºAsuntos!G17)-Datos!BG17)/Datos!BG17),(((NºAsuntos!C17+NºAsuntos!E17)/NºAsuntos!G17)-Datos!BG17)/Datos!BG17," - ")</f>
        <v>8.544706322484108E-2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-0.47923322683706071</v>
      </c>
      <c r="C23" s="1152">
        <f>IF(ISNUMBER(
   IF(Criterios!B14="SI",(Datos!J23-Datos!T23)/Datos!T23,(Datos!J23+Datos!AD23-(Datos!T23+Datos!AL23))/(Datos!T23+Datos!AL23))
     ),IF(Criterios!B14="SI",(Datos!J23-Datos!T23)/Datos!T23,(Datos!J23+Datos!AD23-(Datos!T23+Datos!AL23))/(Datos!T23+Datos!AL23))," - ")</f>
        <v>5.434782608695652E-2</v>
      </c>
      <c r="D23" s="1152">
        <f>IF(ISNUMBER(
   IF(Criterios!B14="SI",(Datos!K23-Datos!U23)/Datos!U23,(Datos!K23+Datos!AE23-(Datos!U23+Datos!AM23))/(Datos!U23+Datos!AM23))
     ),IF(Criterios!B14="SI",(Datos!K23-Datos!U23)/Datos!U23,(Datos!K23+Datos!AE23-(Datos!U23+Datos!AM23))/(Datos!U23+Datos!AM23))," - ")</f>
        <v>-0.33742331288343558</v>
      </c>
      <c r="E23" s="1152">
        <f>IF(ISNUMBER(
   IF(Criterios!B14="SI",(Datos!L23-Datos!V23)/Datos!V23,(Datos!L23+Datos!AF23-(Datos!V23+Datos!AN23))/(Datos!V23+Datos!AN23))
     ),IF(Criterios!B14="SI",(Datos!L23-Datos!V23)/Datos!V23,(Datos!L23+Datos!AF23-(Datos!V23+Datos!AN23))/(Datos!V23+Datos!AN23))," - ")</f>
        <v>-8.3832335329341312E-2</v>
      </c>
      <c r="F23" s="1153">
        <f>IF(ISNUMBER((Datos!M23-Datos!W23)/Datos!W23),(Datos!M23-Datos!W23)/Datos!W23," - ")</f>
        <v>0.31578947368421051</v>
      </c>
      <c r="G23" s="1154">
        <f>IF(ISNUMBER((Datos!N23-Datos!X23)/Datos!X23),(Datos!N23-Datos!X23)/Datos!X23," - ")</f>
        <v>-0.32075471698113206</v>
      </c>
      <c r="H23" s="1154">
        <f>IF(ISNUMBER(((NºAsuntos!G23/NºAsuntos!E23)-Datos!BD23)/Datos!BD23),((NºAsuntos!G23/NºAsuntos!E23)-Datos!BD23)/Datos!BD23," - ")</f>
        <v>-0.37157675036367088</v>
      </c>
      <c r="I23" s="1154">
        <f>IF(ISNUMBER(((NºAsuntos!I23/NºAsuntos!G23)-Datos!BE23)/Datos!BE23),((NºAsuntos!I23/NºAsuntos!G23)-Datos!BE23)/Datos!BE23," - ")</f>
        <v>0.38273453093812371</v>
      </c>
      <c r="J23" s="1154">
        <f>IF(ISNUMBER((('Resol  Asuntos'!D23/NºAsuntos!G23)-Datos!BF23)/Datos!BF23),(('Resol  Asuntos'!D23/NºAsuntos!G23)-Datos!BF23)/Datos!BF23," - ")</f>
        <v>0.98586744639376234</v>
      </c>
      <c r="K23" s="1154">
        <f>IF(ISNUMBER((((NºAsuntos!C23+NºAsuntos!E23)/NºAsuntos!G23)-Datos!BG23)/Datos!BG23),(((NºAsuntos!C23+NºAsuntos!E23)/NºAsuntos!G23)-Datos!BG23)/Datos!BG23," - ")</f>
        <v>8.4115805946791744E-2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6.0646900269541781E-2</v>
      </c>
      <c r="C31" s="1092">
        <f>IF(ISNUMBER(
   IF(J_V="SI",(Datos!J31-Datos!T31)/Datos!T31,(Datos!J31+Datos!Z31-(Datos!T31+Datos!AH31))/(Datos!T31+Datos!AH31))
     ),IF(J_V="SI",(Datos!J31-Datos!T31)/Datos!T31,(Datos!J31+Datos!Z31-(Datos!T31+Datos!AH31))/(Datos!T31+Datos!AH31))," - ")</f>
        <v>3.2110091743119268E-2</v>
      </c>
      <c r="D31" s="1092">
        <f>IF(ISNUMBER(
   IF(J_V="SI",(Datos!K31-Datos!U31)/Datos!U31,(Datos!K31+Datos!AA31-(Datos!U31+Datos!AI31))/(Datos!U31+Datos!AI31))
     ),IF(J_V="SI",(Datos!K31-Datos!U31)/Datos!U31,(Datos!K31+Datos!AA31-(Datos!U31+Datos!AI31))/(Datos!U31+Datos!AI31))," - ")</f>
        <v>-0.18181818181818182</v>
      </c>
      <c r="E31" s="1092">
        <f>IF(ISNUMBER(
   IF(J_V="SI",(Datos!L31-Datos!V31)/Datos!V31,(Datos!L31+Datos!AB31-(Datos!V31+Datos!AJ31))/(Datos!V31+Datos!AJ31))
     ),IF(J_V="SI",(Datos!L31-Datos!V31)/Datos!V31,(Datos!L31+Datos!AB31-(Datos!V31+Datos!AJ31))/(Datos!V31+Datos!AJ31))," - ")</f>
        <v>0.2126642771804062</v>
      </c>
      <c r="F31" s="1093">
        <f>IF(ISNUMBER((Datos!M31-Datos!W31)/Datos!W31),(Datos!M31-Datos!W31)/Datos!W31," - ")</f>
        <v>-4.3478260869565216E-2</v>
      </c>
      <c r="G31" s="1094">
        <f>IF(ISNUMBER((Datos!N31-Datos!X31)/Datos!X31),(Datos!N31-Datos!X31)/Datos!X31," - ")</f>
        <v>0.17177914110429449</v>
      </c>
      <c r="H31" s="1095">
        <f>IF(ISNUMBER((Tasas!B31-Datos!BD31)/Datos!BD31),(Tasas!B31-Datos!BD31)/Datos!BD31," - ")</f>
        <v>-0.2072727272727273</v>
      </c>
      <c r="I31" s="1096">
        <f>IF(ISNUMBER((Tasas!C31-Datos!BE31)/Datos!BE31),(Tasas!C31-Datos!BE31)/Datos!BE31," - ")</f>
        <v>0.48214522766494089</v>
      </c>
      <c r="J31" s="1097">
        <f>IF(ISNUMBER((Tasas!D31-Datos!BF31)/Datos!BF31),(Tasas!D31-Datos!BF31)/Datos!BF31," - ")</f>
        <v>-0.29239766081871349</v>
      </c>
      <c r="K31" s="1097">
        <f>IF(ISNUMBER((Tasas!E31-Datos!BG31)/Datos!BG31),(Tasas!E31-Datos!BG31)/Datos!BG31," - ")</f>
        <v>0.28343708734201101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DWvM5/Mw2ITdlpcPS6IE1PLVDzAaebQAOn55odau+wtHmM7V6cZ9Larb0Csq8u0euwjeQAIRtaifrUtphqrRA==" saltValue="r1RAubczZ+NpJfaKIcwr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SEGORBE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0.66796875</v>
      </c>
      <c r="C12" s="498">
        <f>IF(ISNUMBER(NºAsuntos!I12/NºAsuntos!G12),NºAsuntos!I12/NºAsuntos!G12," - ")</f>
        <v>4.1461988304093564</v>
      </c>
      <c r="D12" s="499">
        <f>IF(ISNUMBER('Resol  Asuntos'!D12/NºAsuntos!G12),'Resol  Asuntos'!D12/NºAsuntos!G12," - ")</f>
        <v>0.1111111111111111</v>
      </c>
      <c r="E12" s="500">
        <f>IF(ISNUMBER((NºAsuntos!C12+NºAsuntos!E12)/NºAsuntos!G12),(NºAsuntos!C12+NºAsuntos!E12)/NºAsuntos!G12," - ")</f>
        <v>5.1461988304093564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0.66796875</v>
      </c>
      <c r="C14" s="1156">
        <f>IF(ISNUMBER(NºAsuntos!I14/NºAsuntos!G14),NºAsuntos!I14/NºAsuntos!G14," - ")</f>
        <v>4.1461988304093564</v>
      </c>
      <c r="D14" s="1157">
        <f>IF(ISNUMBER('Resol  Asuntos'!D14/NºAsuntos!G14),'Resol  Asuntos'!D14/NºAsuntos!G14," - ")</f>
        <v>0.1111111111111111</v>
      </c>
      <c r="E14" s="1158">
        <f>IF(ISNUMBER((NºAsuntos!C14+NºAsuntos!E14)/NºAsuntos!G14),(NºAsuntos!C14+NºAsuntos!E14)/NºAsuntos!G14," - ")</f>
        <v>5.1461988304093564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0.55670103092783507</v>
      </c>
      <c r="C17" s="498">
        <f>IF(ISNUMBER(NºAsuntos!I17/NºAsuntos!G17),NºAsuntos!I17/NºAsuntos!G17," - ")</f>
        <v>2.824074074074074</v>
      </c>
      <c r="D17" s="499">
        <f>IF(ISNUMBER('Resol  Asuntos'!D17/NºAsuntos!G17),'Resol  Asuntos'!D17/NºAsuntos!G17," - ")</f>
        <v>0.23148148148148148</v>
      </c>
      <c r="E17" s="500">
        <f>IF(ISNUMBER((NºAsuntos!C17+NºAsuntos!E17)/NºAsuntos!G17),(NºAsuntos!C17+NºAsuntos!E17)/NºAsuntos!G17," - ")</f>
        <v>3.2962962962962963</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0.55670103092783507</v>
      </c>
      <c r="C23" s="1156">
        <f>IF(ISNUMBER(NºAsuntos!I23/NºAsuntos!G23),NºAsuntos!I23/NºAsuntos!G23," - ")</f>
        <v>2.8333333333333335</v>
      </c>
      <c r="D23" s="1159">
        <f>IF(ISNUMBER('Resol  Asuntos'!D23/NºAsuntos!G23),'Resol  Asuntos'!D23/NºAsuntos!G23," - ")</f>
        <v>0.23148148148148148</v>
      </c>
      <c r="E23" s="1158">
        <f>IF(ISNUMBER((NºAsuntos!C23+NºAsuntos!E23)/NºAsuntos!G23),(NºAsuntos!C23+NºAsuntos!E23)/NºAsuntos!G23," - ")</f>
        <v>3.3055555555555554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0.62</v>
      </c>
      <c r="C31" s="1099">
        <f>IF(ISNUMBER(NºAsuntos!I31/NºAsuntos!G31),NºAsuntos!I31/NºAsuntos!G31," - ")</f>
        <v>3.6379928315412187</v>
      </c>
      <c r="D31" s="1100">
        <f>IF(ISNUMBER('Resol  Asuntos'!D31/NºAsuntos!G31),'Resol  Asuntos'!D31/NºAsuntos!G31," - ")</f>
        <v>0.15770609318996415</v>
      </c>
      <c r="E31" s="1101">
        <f>IF(ISNUMBER((NºAsuntos!C31+NºAsuntos!E31)/NºAsuntos!G31),(NºAsuntos!C31+NºAsuntos!E31)/NºAsuntos!G31," - ")</f>
        <v>4.4336917562724016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eDzFnfFV/lsMuHI0126D5036WBX/TzSBI2mi8aLFw3t9i9as9HWYeAbeKeB9GFNCiIlmrrv960iqu58CQa0ng==" saltValue="THEMdYS6+kYtrOOh6vUB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SEGORBE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0.66796875</v>
      </c>
      <c r="AM12" s="284">
        <f>IF(ISNUMBER(((NºAsuntos!I12/NºAsuntos!G12)*11)/factor_trimestre),((NºAsuntos!I12/NºAsuntos!G12)*11)/factor_trimestre," - ")</f>
        <v>12.43859649122807</v>
      </c>
      <c r="AN12" s="267">
        <f>IF(ISNUMBER('Resol  Asuntos'!D12/NºAsuntos!G12),'Resol  Asuntos'!D12/NºAsuntos!G12," - ")</f>
        <v>0.1111111111111111</v>
      </c>
      <c r="AO12" s="268">
        <f>IF(ISNUMBER((NºAsuntos!C12+NºAsuntos!E12)/NºAsuntos!G12),(NºAsuntos!C12+NºAsuntos!E12)/NºAsuntos!G12," - ")</f>
        <v>5.1461988304093564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891</v>
      </c>
      <c r="AC14" s="1165">
        <f t="shared" si="6"/>
        <v>0</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0.66796875</v>
      </c>
      <c r="AM14" s="1171">
        <f>IF(ISNUMBER(((NºAsuntos!I14/NºAsuntos!G14)*11)/factor_trimestre),((NºAsuntos!I14/NºAsuntos!G14)*11)/factor_trimestre," - ")</f>
        <v>12.43859649122807</v>
      </c>
      <c r="AN14" s="1172">
        <f>IF(ISNUMBER('Resol  Asuntos'!D14/NºAsuntos!G14),'Resol  Asuntos'!D14/NºAsuntos!G14," - ")</f>
        <v>0.1111111111111111</v>
      </c>
      <c r="AO14" s="1173">
        <f>IF(ISNUMBER((NºAsuntos!C14+NºAsuntos!E14)/NºAsuntos!G14),(NºAsuntos!C14+NºAsuntos!E14)/NºAsuntos!G14," - ")</f>
        <v>5.1461988304093564</v>
      </c>
      <c r="AP14" s="1174" t="str">
        <f t="shared" si="2"/>
        <v xml:space="preserve"> - </v>
      </c>
      <c r="AQ14" s="1174" t="str">
        <f>IF(ISNUMBER((H14-W14+K14)/(F14)),(H14-W14+K14)/(F14)," - ")</f>
        <v xml:space="preserve"> - </v>
      </c>
      <c r="AR14" s="1175">
        <f>IF(ISNUMBER((Datos!P14-Datos!Q14)/(Datos!R14-Datos!P14+Datos!Q14)),(Datos!P14-Datos!Q14)/(Datos!R14-Datos!P14+Datos!Q14)," - ")</f>
        <v>3.484320557491289E-2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219</v>
      </c>
      <c r="G17" s="373">
        <f>IF(ISNUMBER(IF(D_I="SI",Datos!I17,Datos!I17+Datos!AC17)),IF(D_I="SI",Datos!I17,Datos!I17+Datos!AC17)," - ")</f>
        <v>162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108</v>
      </c>
      <c r="X17" s="240">
        <f>IF(ISNUMBER(Datos!Q17),Datos!Q17," - ")</f>
        <v>0</v>
      </c>
      <c r="Y17" s="374">
        <f t="shared" ref="Y17:Y22" si="9">SUM(W17:X17)</f>
        <v>108</v>
      </c>
      <c r="Z17" s="375" t="str">
        <f>IF(ISNUMBER(Datos!CC17),Datos!CC17," - ")</f>
        <v xml:space="preserve"> - </v>
      </c>
      <c r="AA17" s="372">
        <f>IF(ISNUMBER(IF(D_I="SI",Datos!L17,Datos!L17+Datos!AF17)),IF(D_I="SI",Datos!L17,Datos!L17+Datos!AF17)," - ")</f>
        <v>305</v>
      </c>
      <c r="AB17" s="374">
        <f>IF(ISNUMBER(Datos!R17),Datos!R17," - ")</f>
        <v>35</v>
      </c>
      <c r="AC17" s="374">
        <f t="shared" si="8"/>
        <v>340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0.55670103092783507</v>
      </c>
      <c r="AM17" s="284">
        <f>IF(ISNUMBER(((NºAsuntos!I17/NºAsuntos!G17)*11)/factor_trimestre),((NºAsuntos!I17/NºAsuntos!G17)*11)/factor_trimestre," - ")</f>
        <v>8.4722222222222214</v>
      </c>
      <c r="AN17" s="267">
        <f>IF(ISNUMBER('Resol  Asuntos'!D17/NºAsuntos!G17),'Resol  Asuntos'!D17/NºAsuntos!G17," - ")</f>
        <v>0.23148148148148148</v>
      </c>
      <c r="AO17" s="268">
        <f>IF(ISNUMBER((NºAsuntos!C17+NºAsuntos!E17)/NºAsuntos!G17),(NºAsuntos!C17+NºAsuntos!E17)/NºAsuntos!G17," - ")</f>
        <v>3.2962962962962963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219</v>
      </c>
      <c r="G23" s="1163">
        <f>SUBTOTAL(9,G16:G22)</f>
        <v>163</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v>
      </c>
      <c r="X23" s="1164">
        <f t="shared" si="14"/>
        <v>0</v>
      </c>
      <c r="Y23" s="1165">
        <f t="shared" si="14"/>
        <v>108</v>
      </c>
      <c r="Z23" s="1165">
        <f t="shared" si="14"/>
        <v>0</v>
      </c>
      <c r="AA23" s="1165">
        <f t="shared" si="14"/>
        <v>306</v>
      </c>
      <c r="AB23" s="1165">
        <f t="shared" si="14"/>
        <v>35</v>
      </c>
      <c r="AC23" s="1165">
        <f t="shared" si="14"/>
        <v>341</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0.55670103092783507</v>
      </c>
      <c r="AM23" s="1171">
        <f>IF(ISNUMBER(((NºAsuntos!I23/NºAsuntos!G23)*11)/factor_trimestre),((NºAsuntos!I23/NºAsuntos!G23)*11)/factor_trimestre," - ")</f>
        <v>8.5</v>
      </c>
      <c r="AN23" s="1172">
        <f>IF(ISNUMBER('Resol  Asuntos'!D23/NºAsuntos!G23),'Resol  Asuntos'!D23/NºAsuntos!G23," - ")</f>
        <v>0.23148148148148148</v>
      </c>
      <c r="AO23" s="1173">
        <f>IF(ISNUMBER((NºAsuntos!C23+NºAsuntos!E23)/NºAsuntos!G23),(NºAsuntos!C23+NºAsuntos!E23)/NºAsuntos!G23," - ")</f>
        <v>3.3055555555555554</v>
      </c>
      <c r="AP23" s="1174" t="str">
        <f t="shared" si="2"/>
        <v xml:space="preserve"> - </v>
      </c>
      <c r="AQ23" s="1174">
        <f>IF(ISNUMBER((H23-W23+K23)/(F23)),(H23-W23+K23)/(F23)," - ")</f>
        <v>-0.49315068493150682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219</v>
      </c>
      <c r="G31" s="1118">
        <f t="shared" si="20"/>
        <v>163</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v>
      </c>
      <c r="X31" s="1118">
        <f t="shared" si="21"/>
        <v>19</v>
      </c>
      <c r="Y31" s="1125">
        <f t="shared" si="21"/>
        <v>127</v>
      </c>
      <c r="Z31" s="1125">
        <f t="shared" si="21"/>
        <v>0</v>
      </c>
      <c r="AA31" s="1125">
        <f t="shared" si="21"/>
        <v>306</v>
      </c>
      <c r="AB31" s="1125">
        <f t="shared" si="21"/>
        <v>926</v>
      </c>
      <c r="AC31" s="1125">
        <f t="shared" si="21"/>
        <v>341</v>
      </c>
      <c r="AD31" s="1125">
        <f t="shared" si="21"/>
        <v>0</v>
      </c>
      <c r="AE31" s="1127">
        <f t="shared" si="21"/>
        <v>0</v>
      </c>
      <c r="AF31" s="1128">
        <f t="shared" si="21"/>
        <v>0</v>
      </c>
      <c r="AG31" s="1129">
        <f t="shared" si="21"/>
        <v>0</v>
      </c>
      <c r="AH31" s="1127">
        <f t="shared" si="21"/>
        <v>0</v>
      </c>
      <c r="AI31" s="1117">
        <f t="shared" si="21"/>
        <v>44</v>
      </c>
      <c r="AJ31" s="1117">
        <f t="shared" si="21"/>
        <v>0</v>
      </c>
      <c r="AK31" s="1127">
        <f t="shared" si="21"/>
        <v>0</v>
      </c>
      <c r="AL31" s="1183">
        <f>IF(ISNUMBER(NºAsuntos!G31/NºAsuntos!E31),NºAsuntos!G31/NºAsuntos!E31," - ")</f>
        <v>0.62</v>
      </c>
      <c r="AM31" s="1184">
        <f>IF(ISNUMBER(((NºAsuntos!I31/NºAsuntos!G31)*11)/factor_trimestre),((NºAsuntos!I31/NºAsuntos!G31)*11)/factor_trimestre," - ")</f>
        <v>10.913978494623656</v>
      </c>
      <c r="AN31" s="1184">
        <f>IF(ISNUMBER('Resol  Asuntos'!D31/NºAsuntos!G31),'Resol  Asuntos'!D31/NºAsuntos!G31," - ")</f>
        <v>0.15770609318996415</v>
      </c>
      <c r="AO31" s="1185">
        <f>IF(ISNUMBER((NºAsuntos!C31+NºAsuntos!E31)/NºAsuntos!G31),(NºAsuntos!C31+NºAsuntos!E31)/NºAsuntos!G31," - ")</f>
        <v>4.4336917562724016</v>
      </c>
      <c r="AP31" s="1186" t="str">
        <f t="shared" si="2"/>
        <v xml:space="preserve"> - </v>
      </c>
      <c r="AQ31" s="1187">
        <f>IF(OR(ISNUMBER(FIND("01",Criterios!A8,1)),ISNUMBER(FIND("02",Criterios!A8,1)),ISNUMBER(FIND("03",Criterios!A8,1)),ISNUMBER(FIND("04",Criterios!A8,1))),(I31-W31+K31)/(F31-K31),(H31-W31+K31)/(F31-K31))</f>
        <v>-0.49315068493150682</v>
      </c>
      <c r="AR31" s="1188">
        <f>IF(ISNUMBER((Datos!P31-Datos!Q31)/(Datos!R31-Datos!P31+Datos!Q31)),(Datos!P31-Datos!Q31)/(Datos!R31-Datos!P31+Datos!Q31)," - ")</f>
        <v>3.3482142857142856E-2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113.09111370925658</v>
      </c>
      <c r="G33" s="277">
        <f>IF(ISNUMBER(STDEV(G8:G30)),STDEV(G8:G30),"-")</f>
        <v>79.195658851684428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52.698603939220796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11.976166808648392</v>
      </c>
      <c r="AJ33" s="276">
        <f t="shared" si="25"/>
        <v>0</v>
      </c>
      <c r="AK33" s="278">
        <f t="shared" si="25"/>
        <v>0</v>
      </c>
      <c r="AL33" s="273">
        <f t="shared" si="25"/>
        <v>6.4240447558430072E-2</v>
      </c>
      <c r="AM33" s="274">
        <f t="shared" si="25"/>
        <v>2.2819966756116155</v>
      </c>
      <c r="AN33" s="274">
        <f t="shared" si="25"/>
        <v>6.9495865735788254E-2</v>
      </c>
      <c r="AO33" s="275">
        <f t="shared" si="25"/>
        <v>1.0653755142298806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292sq6Hs1Y4zoeizyl3GiPNICozxm+oDStOfvdKZPJa5MUKl5uzjnjtWUaI4XnaXxIam3PyTrgVyZB/OMiwTA==" saltValue="3wWANkuPF+o5jnkYpbjw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SEGORBE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-0.29629629629629628</v>
      </c>
      <c r="I12" s="395">
        <f>IF(ISNUMBER((Tasas!C12-Datos!BE12)/Datos!BE12),(Tasas!C12-Datos!BE12)/Datos!BE12," - ")</f>
        <v>0.46724332368362903</v>
      </c>
      <c r="J12" s="394">
        <f>IF(ISNUMBER((Tasas!D12-Datos!BF12)/Datos!BF12),(Tasas!D12-Datos!BF12)/Datos!BF12," - ")</f>
        <v>-0.65302144249512672</v>
      </c>
      <c r="K12" s="396">
        <f>IF(ISNUMBER((Tasas!E12-Datos!BG12)/Datos!BG12),(Tasas!E12-Datos!BG12)/Datos!BG12," - ")</f>
        <v>0.34511511279422236</v>
      </c>
      <c r="M12" t="e">
        <f>IF(Monitorios="SI",Datos!CE12,0)</f>
        <v>#REF!</v>
      </c>
      <c r="N12" t="e">
        <f>IF(Monitorios="SI",Datos!CF12,0)</f>
        <v>#REF!</v>
      </c>
      <c r="O12" t="e">
        <f>IF(Monitorios="SI",Datos!CG12,0)</f>
        <v>#REF!</v>
      </c>
      <c r="P12" t="e">
        <f>IF(Monitorios="SI",Datos!CH12,0)</f>
        <v>#REF!</v>
      </c>
      <c r="Q12">
        <f>IF(J_V="SI",0,Datos!AG12)</f>
        <v>29</v>
      </c>
      <c r="R12">
        <f>IF(J_V="SI",0,Datos!AH12)</f>
        <v>30</v>
      </c>
      <c r="S12">
        <f>IF(J_V="SI",0,Datos!AI12)</f>
        <v>21</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-0.29629629629629628</v>
      </c>
      <c r="I14" s="402">
        <f>IF(ISNUMBER((Tasas!C14-Datos!BE14)/Datos!BE14),(Tasas!C14-Datos!BE14)/Datos!BE14," - ")</f>
        <v>0.46724332368362903</v>
      </c>
      <c r="J14" s="400">
        <f>IF(ISNUMBER((Tasas!D14-Datos!BF14)/Datos!BF14),(Tasas!D14-Datos!BF14)/Datos!BF14," - ")</f>
        <v>-0.65302144249512672</v>
      </c>
      <c r="K14" s="403">
        <f>IF(ISNUMBER((Tasas!E14-Datos!BG14)/Datos!BG14),(Tasas!E14-Datos!BG14)/Datos!BG14," - ")</f>
        <v>0.34511511279422236</v>
      </c>
      <c r="M14" t="e">
        <f>IF(Monitorios="SI",Datos!CE14,0)</f>
        <v>#REF!</v>
      </c>
      <c r="N14" t="e">
        <f>IF(Monitorios="SI",Datos!CF14,0)</f>
        <v>#REF!</v>
      </c>
      <c r="O14" t="e">
        <f>IF(Monitorios="SI",Datos!CG14,0)</f>
        <v>#REF!</v>
      </c>
      <c r="P14" t="e">
        <f>IF(Monitorios="SI",Datos!CH14,0)</f>
        <v>#REF!</v>
      </c>
      <c r="Q14">
        <f>IF(J_V="SI",0,Datos!AG14)</f>
        <v>29</v>
      </c>
      <c r="R14">
        <f>IF(J_V="SI",0,Datos!AH14)</f>
        <v>30</v>
      </c>
      <c r="S14">
        <f>IF(J_V="SI",0,Datos!AI14)</f>
        <v>21</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-0.47909967845659163</v>
      </c>
      <c r="E17" s="393">
        <f>IF(ISNUMBER(
   IF(D_I="SI",(Datos!J17-Datos!T17)/Datos!T17,(Datos!J17+Datos!AD17-(Datos!T17+Datos!AL17))/(Datos!T17+Datos!AL17))
     ),IF(D_I="SI",(Datos!J17-Datos!T17)/Datos!T17,(Datos!J17+Datos!AD17-(Datos!T17+Datos!AL17))/(Datos!T17+Datos!AL17))," - ")</f>
        <v>5.434782608695652E-2</v>
      </c>
      <c r="F17" s="393">
        <f>IF(ISNUMBER(
   IF(D_I="SI",(Datos!K17-Datos!U17)/Datos!U17,(Datos!K17+Datos!AE17-(Datos!U17+Datos!AM17))/(Datos!U17+Datos!AM17))
     ),IF(D_I="SI",(Datos!K17-Datos!U17)/Datos!U17,(Datos!K17+Datos!AE17-(Datos!U17+Datos!AM17))/(Datos!U17+Datos!AM17))," - ")</f>
        <v>-0.33742331288343558</v>
      </c>
      <c r="G17" s="394">
        <f>IF(ISNUMBER(
   IF(D_I="SI",(Datos!L17-Datos!V17)/Datos!V17,(Datos!L17+Datos!AF17-(Datos!V17+Datos!AN17))/(Datos!V17+Datos!AN17))
     ),IF(D_I="SI",(Datos!L17-Datos!V17)/Datos!V17,(Datos!L17+Datos!AF17-(Datos!V17+Datos!AN17))/(Datos!V17+Datos!AN17))," - ")</f>
        <v>-8.1325301204819275E-2</v>
      </c>
      <c r="H17" s="244">
        <f>IF(ISNUMBER((Datos!M17-Datos!W17)/Datos!W17),(Datos!M17-Datos!W17)/Datos!W17," - ")</f>
        <v>0.31578947368421051</v>
      </c>
      <c r="I17" s="395">
        <f>IF(ISNUMBER((Tasas!C17-Datos!BE17)/Datos!BE17),(Tasas!C17-Datos!BE17)/Datos!BE17," - ")</f>
        <v>0.38651829540383764</v>
      </c>
      <c r="J17" s="394">
        <f>IF(ISNUMBER((Tasas!D17-Datos!BF17)/Datos!BF17),(Tasas!D17-Datos!BF17)/Datos!BF17," - ")</f>
        <v>0.98586744639376234</v>
      </c>
      <c r="K17" s="396">
        <f>IF(ISNUMBER((Tasas!E17-Datos!BG17)/Datos!BG17),(Tasas!E17-Datos!BG17)/Datos!BG17," - ")</f>
        <v>8.544706322484108E-2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-0.47923322683706071</v>
      </c>
      <c r="E23" s="399">
        <f>IF(ISNUMBER(
   IF(D_I="SI",(Datos!J23-Datos!T23)/Datos!T23,(Datos!J23+Datos!AD23-(Datos!T23+Datos!AL23))/(Datos!T23+Datos!AL23))
     ),IF(D_I="SI",(Datos!J23-Datos!T23)/Datos!T23,(Datos!J23+Datos!AD23-(Datos!T23+Datos!AL23))/(Datos!T23+Datos!AL23))," - ")</f>
        <v>5.434782608695652E-2</v>
      </c>
      <c r="F23" s="399">
        <f>IF(ISNUMBER(
   IF(D_I="SI",(Datos!K23-Datos!U23)/Datos!U23,(Datos!K23+Datos!AE23-(Datos!U23+Datos!AM23))/(Datos!U23+Datos!AM23))
     ),IF(D_I="SI",(Datos!K23-Datos!U23)/Datos!U23,(Datos!K23+Datos!AE23-(Datos!U23+Datos!AM23))/(Datos!U23+Datos!AM23))," - ")</f>
        <v>-0.33742331288343558</v>
      </c>
      <c r="G23" s="400">
        <f>IF(ISNUMBER(
   IF(D_I="SI",(Datos!L23-Datos!V23)/Datos!V23,(Datos!L23+Datos!AF23-(Datos!V23+Datos!AN23))/(Datos!V23+Datos!AN23))
     ),IF(D_I="SI",(Datos!L23-Datos!V23)/Datos!V23,(Datos!L23+Datos!AF23-(Datos!V23+Datos!AN23))/(Datos!V23+Datos!AN23))," - ")</f>
        <v>-8.3832335329341312E-2</v>
      </c>
      <c r="H23" s="401">
        <f>IF(ISNUMBER((Datos!M23-Datos!W23)/Datos!W23),(Datos!M23-Datos!W23)/Datos!W23," - ")</f>
        <v>0.31578947368421051</v>
      </c>
      <c r="I23" s="402">
        <f>IF(ISNUMBER((Tasas!C23-Datos!BE23)/Datos!BE23),(Tasas!C23-Datos!BE23)/Datos!BE23," - ")</f>
        <v>0.38273453093812371</v>
      </c>
      <c r="J23" s="400">
        <f>IF(ISNUMBER((Tasas!D23-Datos!BF23)/Datos!BF23),(Tasas!D23-Datos!BF23)/Datos!BF23," - ")</f>
        <v>0.98586744639376234</v>
      </c>
      <c r="K23" s="403">
        <f>IF(ISNUMBER((Tasas!E23-Datos!BG23)/Datos!BG23),(Tasas!E23-Datos!BG23)/Datos!BG23," - ")</f>
        <v>8.4115805946791744E-2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6.0646900269541781E-2</v>
      </c>
      <c r="E31" s="409">
        <f>IF(ISNUMBER(
   IF(J_V="SI",(Datos!J31-Datos!T31)/Datos!T31,(Datos!J31+Datos!Z31-(Datos!T31+Datos!AH31))/(Datos!T31+Datos!AH31))
     ),IF(J_V="SI",(Datos!J31-Datos!T31)/Datos!T31,(Datos!J31+Datos!Z31-(Datos!T31+Datos!AH31))/(Datos!T31+Datos!AH31))," - ")</f>
        <v>3.2110091743119268E-2</v>
      </c>
      <c r="F31" s="409">
        <f>IF(ISNUMBER(
   IF(J_V="SI",(Datos!K31-Datos!U31)/Datos!U31,(Datos!K31+Datos!AA31-(Datos!U31+Datos!AI31))/(Datos!U31+Datos!AI31))
     ),IF(J_V="SI",(Datos!K31-Datos!U31)/Datos!U31,(Datos!K31+Datos!AA31-(Datos!U31+Datos!AI31))/(Datos!U31+Datos!AI31))," - ")</f>
        <v>-0.18181818181818182</v>
      </c>
      <c r="G31" s="410">
        <f>IF(ISNUMBER(
   IF(J_V="SI",(Datos!L31-Datos!V31)/Datos!V31,(Datos!L31+Datos!AB31-(Datos!V31+Datos!AJ31))/(Datos!V31+Datos!AJ31))
     ),IF(J_V="SI",(Datos!L31-Datos!V31)/Datos!V31,(Datos!L31+Datos!AB31-(Datos!V31+Datos!AJ31))/(Datos!V31+Datos!AJ31))," - ")</f>
        <v>0.2126642771804062</v>
      </c>
      <c r="H31" s="411">
        <f>IF(ISNUMBER((Datos!M31-Datos!W31)/Datos!W31),(Datos!M31-Datos!W31)/Datos!W31," - ")</f>
        <v>-4.3478260869565216E-2</v>
      </c>
      <c r="I31" s="408">
        <f>IF(ISNUMBER((Tasas!C31-Datos!BE31)/Datos!BE31),(Tasas!C31-Datos!BE31)/Datos!BE31," - ")</f>
        <v>0.48214522766494089</v>
      </c>
      <c r="J31" s="409">
        <f>IF(ISNUMBER((Tasas!D31-Datos!BF31)/Datos!BF31),(Tasas!D31-Datos!BF31)/Datos!BF31," - ")</f>
        <v>-0.29239766081871349</v>
      </c>
      <c r="K31" s="410">
        <f>IF(ISNUMBER((Tasas!E31-Datos!BG31)/Datos!BG31),(Tasas!E31-Datos!BG31)/Datos!BG31," - ")</f>
        <v>0.28343708734201101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1.2028439517720504E-2</v>
      </c>
      <c r="E33" s="303">
        <f t="shared" si="1"/>
        <v>0</v>
      </c>
      <c r="F33" s="303">
        <f t="shared" si="1"/>
        <v>0</v>
      </c>
      <c r="G33" s="304">
        <f t="shared" si="1"/>
        <v>0.24100149160975701</v>
      </c>
      <c r="H33" s="310">
        <f t="shared" si="1"/>
        <v>0.35338788406538491</v>
      </c>
      <c r="I33" s="302">
        <f t="shared" si="1"/>
        <v>4.7723901556840281E-2</v>
      </c>
      <c r="J33" s="303">
        <f t="shared" si="1"/>
        <v>0.94621294117188681</v>
      </c>
      <c r="K33" s="304">
        <f t="shared" si="1"/>
        <v>0.15030470178106872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upUocUFWwoyLA2cy8AnwqnDVKJYbSFuxY7CV8ZSdM+Gb2JvXxoOtYfID3QRnQxC/gCl7tAA9lagB8/UdYrMMw==" saltValue="N1J2rATMiCl8tAkpKjXX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